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60" windowWidth="11295" windowHeight="4815" firstSheet="7" activeTab="10"/>
  </bookViews>
  <sheets>
    <sheet name="Summary" sheetId="28" state="hidden" r:id="rId1"/>
    <sheet name="5000" sheetId="21" state="hidden" r:id="rId2"/>
    <sheet name="10000" sheetId="24" state="hidden" r:id="rId3"/>
    <sheet name="20000" sheetId="23" state="hidden" r:id="rId4"/>
    <sheet name="100000" sheetId="26" state="hidden" r:id="rId5"/>
    <sheet name="200000" sheetId="27" state="hidden" r:id="rId6"/>
    <sheet name="Pawdep scenario" sheetId="4" state="hidden" r:id="rId7"/>
    <sheet name="Cover Sheet" sheetId="32" r:id="rId8"/>
    <sheet name="Release Notes" sheetId="33" r:id="rId9"/>
    <sheet name="payment scenarios" sheetId="29" r:id="rId10"/>
    <sheet name="Results" sheetId="30" r:id="rId11"/>
    <sheet name="Outstanding issues" sheetId="31" r:id="rId12"/>
  </sheets>
  <definedNames>
    <definedName name="_xlnm.Print_Area" localSheetId="7">'Cover Sheet'!$C$23:$G$47</definedName>
  </definedNames>
  <calcPr calcId="124519"/>
</workbook>
</file>

<file path=xl/calcChain.xml><?xml version="1.0" encoding="utf-8"?>
<calcChain xmlns="http://schemas.openxmlformats.org/spreadsheetml/2006/main">
  <c r="F11" i="29"/>
  <c r="A5" i="33"/>
  <c r="N358" i="29"/>
  <c r="O358"/>
  <c r="M358"/>
  <c r="N348"/>
  <c r="M348"/>
  <c r="N330"/>
  <c r="M330"/>
  <c r="M314"/>
  <c r="N314"/>
  <c r="N304"/>
  <c r="M304"/>
  <c r="N295"/>
  <c r="M295"/>
  <c r="N285"/>
  <c r="M285"/>
  <c r="N276"/>
  <c r="M276"/>
  <c r="N266"/>
  <c r="M266"/>
  <c r="N256"/>
  <c r="M256"/>
  <c r="N246"/>
  <c r="M246"/>
  <c r="N236"/>
  <c r="M236"/>
  <c r="N225"/>
  <c r="M225"/>
  <c r="N213"/>
  <c r="M213"/>
  <c r="N206"/>
  <c r="M206"/>
  <c r="N194"/>
  <c r="M194"/>
  <c r="N184"/>
  <c r="M184"/>
  <c r="N174"/>
  <c r="M174"/>
  <c r="N162"/>
  <c r="M162"/>
  <c r="N150"/>
  <c r="M150"/>
  <c r="N140"/>
  <c r="M140"/>
  <c r="N130"/>
  <c r="M130"/>
  <c r="N119"/>
  <c r="M119"/>
  <c r="N109"/>
  <c r="M109"/>
  <c r="N100"/>
  <c r="M100"/>
  <c r="N91"/>
  <c r="M91"/>
  <c r="N82"/>
  <c r="M82"/>
  <c r="N73"/>
  <c r="M73"/>
  <c r="N64"/>
  <c r="M64"/>
  <c r="N55"/>
  <c r="M55"/>
  <c r="N46"/>
  <c r="M46"/>
  <c r="N37"/>
  <c r="M37"/>
  <c r="N28"/>
  <c r="M28"/>
  <c r="N19"/>
  <c r="M19"/>
  <c r="C26" i="32"/>
  <c r="E33"/>
  <c r="E31"/>
  <c r="E30"/>
  <c r="E29"/>
  <c r="E28"/>
  <c r="C25"/>
  <c r="C24"/>
  <c r="F20"/>
  <c r="B20"/>
  <c r="E32" s="1"/>
  <c r="F19"/>
  <c r="F18"/>
  <c r="F17"/>
  <c r="F9"/>
  <c r="F13" s="1"/>
  <c r="F22" l="1"/>
  <c r="F10"/>
  <c r="F14" s="1"/>
  <c r="F15" s="1"/>
  <c r="F21" l="1"/>
  <c r="E34"/>
  <c r="L357" i="29"/>
  <c r="P357"/>
  <c r="T356"/>
  <c r="P356"/>
  <c r="P355"/>
  <c r="P354"/>
  <c r="M354"/>
  <c r="L354" s="1"/>
  <c r="O347"/>
  <c r="T346"/>
  <c r="O346"/>
  <c r="O345"/>
  <c r="O344"/>
  <c r="M344" s="1"/>
  <c r="L344" s="1"/>
  <c r="O329"/>
  <c r="T328"/>
  <c r="O328"/>
  <c r="O327"/>
  <c r="O326"/>
  <c r="M326" s="1"/>
  <c r="L326" s="1"/>
  <c r="P326" s="1"/>
  <c r="O312"/>
  <c r="O313"/>
  <c r="T312"/>
  <c r="O311"/>
  <c r="P310"/>
  <c r="O310"/>
  <c r="O301"/>
  <c r="O303"/>
  <c r="T302"/>
  <c r="O302"/>
  <c r="M302" s="1"/>
  <c r="L302" s="1"/>
  <c r="P302" s="1"/>
  <c r="O300"/>
  <c r="P300"/>
  <c r="O294"/>
  <c r="T293"/>
  <c r="O293"/>
  <c r="M293" s="1"/>
  <c r="O292"/>
  <c r="O291"/>
  <c r="M291" s="1"/>
  <c r="L291" s="1"/>
  <c r="O284"/>
  <c r="T283"/>
  <c r="O283"/>
  <c r="O282"/>
  <c r="O281"/>
  <c r="M281" s="1"/>
  <c r="L281" s="1"/>
  <c r="O275"/>
  <c r="O274"/>
  <c r="M274" s="1"/>
  <c r="L274" s="1"/>
  <c r="P274" s="1"/>
  <c r="T273"/>
  <c r="O273"/>
  <c r="O272"/>
  <c r="O271"/>
  <c r="M271" s="1"/>
  <c r="L271" s="1"/>
  <c r="O265"/>
  <c r="O264"/>
  <c r="M264" s="1"/>
  <c r="L264" s="1"/>
  <c r="P264" s="1"/>
  <c r="T263"/>
  <c r="O263"/>
  <c r="O262"/>
  <c r="O261"/>
  <c r="M261" s="1"/>
  <c r="L261" s="1"/>
  <c r="O245"/>
  <c r="O244"/>
  <c r="M244" s="1"/>
  <c r="L244" s="1"/>
  <c r="P244" s="1"/>
  <c r="T243"/>
  <c r="O243"/>
  <c r="O242"/>
  <c r="O241"/>
  <c r="M241" s="1"/>
  <c r="L241" s="1"/>
  <c r="O255"/>
  <c r="O254"/>
  <c r="M254" s="1"/>
  <c r="L254" s="1"/>
  <c r="P254" s="1"/>
  <c r="T253"/>
  <c r="O253"/>
  <c r="O252"/>
  <c r="O251"/>
  <c r="M251" s="1"/>
  <c r="L251" s="1"/>
  <c r="O235"/>
  <c r="O234"/>
  <c r="T233"/>
  <c r="O233"/>
  <c r="O232"/>
  <c r="O231"/>
  <c r="O220"/>
  <c r="AE221"/>
  <c r="AB220"/>
  <c r="AC219"/>
  <c r="AB219"/>
  <c r="Z219" s="1"/>
  <c r="AA219" s="1"/>
  <c r="O224"/>
  <c r="O223"/>
  <c r="T222"/>
  <c r="T218" s="1"/>
  <c r="O222"/>
  <c r="O221"/>
  <c r="M220"/>
  <c r="L220" s="1"/>
  <c r="T213"/>
  <c r="T209" s="1"/>
  <c r="O212"/>
  <c r="O211"/>
  <c r="M211" s="1"/>
  <c r="L211" s="1"/>
  <c r="P211" s="1"/>
  <c r="O200"/>
  <c r="M200" s="1"/>
  <c r="L200" s="1"/>
  <c r="O205"/>
  <c r="O204"/>
  <c r="O203"/>
  <c r="T202"/>
  <c r="O202"/>
  <c r="O201"/>
  <c r="O193"/>
  <c r="T192"/>
  <c r="O192"/>
  <c r="O191"/>
  <c r="P190"/>
  <c r="O190"/>
  <c r="M190" s="1"/>
  <c r="N190" s="1"/>
  <c r="O183"/>
  <c r="T182"/>
  <c r="O182"/>
  <c r="O181"/>
  <c r="P180"/>
  <c r="O180"/>
  <c r="M180" s="1"/>
  <c r="N180" s="1"/>
  <c r="O173"/>
  <c r="T172"/>
  <c r="O172"/>
  <c r="P171"/>
  <c r="O171"/>
  <c r="P170"/>
  <c r="O170"/>
  <c r="M170" s="1"/>
  <c r="N170" s="1"/>
  <c r="O161"/>
  <c r="T160"/>
  <c r="O160"/>
  <c r="O159"/>
  <c r="P158"/>
  <c r="O158"/>
  <c r="M158" s="1"/>
  <c r="N158" s="1"/>
  <c r="P149"/>
  <c r="O149"/>
  <c r="M149" s="1"/>
  <c r="N149" s="1"/>
  <c r="T148"/>
  <c r="O148"/>
  <c r="O147"/>
  <c r="P146"/>
  <c r="O146"/>
  <c r="M146" s="1"/>
  <c r="N146" s="1"/>
  <c r="P139"/>
  <c r="O139"/>
  <c r="M139" s="1"/>
  <c r="N139" s="1"/>
  <c r="T138"/>
  <c r="O138"/>
  <c r="O137"/>
  <c r="P136"/>
  <c r="O136"/>
  <c r="M136" s="1"/>
  <c r="N136" s="1"/>
  <c r="P129"/>
  <c r="O129"/>
  <c r="M129" s="1"/>
  <c r="N129" s="1"/>
  <c r="T128"/>
  <c r="O128"/>
  <c r="O127"/>
  <c r="P126"/>
  <c r="O126"/>
  <c r="M126" s="1"/>
  <c r="N126" s="1"/>
  <c r="O118"/>
  <c r="T117"/>
  <c r="O117"/>
  <c r="O116"/>
  <c r="P115"/>
  <c r="O115"/>
  <c r="M115" s="1"/>
  <c r="N115" s="1"/>
  <c r="O108"/>
  <c r="T107"/>
  <c r="O107"/>
  <c r="P106"/>
  <c r="P107" s="1"/>
  <c r="O106"/>
  <c r="P105"/>
  <c r="O105"/>
  <c r="M105" s="1"/>
  <c r="N105" s="1"/>
  <c r="O99"/>
  <c r="T98"/>
  <c r="O98"/>
  <c r="P97"/>
  <c r="O97"/>
  <c r="P96"/>
  <c r="O96"/>
  <c r="M96" s="1"/>
  <c r="N96" s="1"/>
  <c r="O90"/>
  <c r="T89"/>
  <c r="O89"/>
  <c r="P88"/>
  <c r="P89" s="1"/>
  <c r="O88"/>
  <c r="O87"/>
  <c r="M87" s="1"/>
  <c r="N87" s="1"/>
  <c r="O81"/>
  <c r="T80"/>
  <c r="O80"/>
  <c r="P79"/>
  <c r="O79"/>
  <c r="O78"/>
  <c r="M78" s="1"/>
  <c r="L78" s="1"/>
  <c r="O72"/>
  <c r="T71"/>
  <c r="O71"/>
  <c r="P70"/>
  <c r="O70"/>
  <c r="O69"/>
  <c r="M69" s="1"/>
  <c r="L69" s="1"/>
  <c r="O63"/>
  <c r="T62"/>
  <c r="O62"/>
  <c r="P61"/>
  <c r="P62" s="1"/>
  <c r="O61"/>
  <c r="O60"/>
  <c r="M60" s="1"/>
  <c r="L60" s="1"/>
  <c r="O54"/>
  <c r="T53"/>
  <c r="O53"/>
  <c r="P52"/>
  <c r="P53" s="1"/>
  <c r="O52"/>
  <c r="O51"/>
  <c r="M51" s="1"/>
  <c r="L51" s="1"/>
  <c r="P51" s="1"/>
  <c r="L52" s="1"/>
  <c r="O42"/>
  <c r="M42" s="1"/>
  <c r="L42" s="1"/>
  <c r="P33"/>
  <c r="O33"/>
  <c r="M33" s="1"/>
  <c r="N33" s="1"/>
  <c r="O24"/>
  <c r="M24" s="1"/>
  <c r="L24" s="1"/>
  <c r="P24" s="1"/>
  <c r="O18"/>
  <c r="O15"/>
  <c r="M15" s="1"/>
  <c r="L15" s="1"/>
  <c r="P15" s="1"/>
  <c r="T17"/>
  <c r="T26"/>
  <c r="T35"/>
  <c r="T44"/>
  <c r="O45"/>
  <c r="O44"/>
  <c r="P43"/>
  <c r="O43"/>
  <c r="P34"/>
  <c r="O36"/>
  <c r="O35"/>
  <c r="O34"/>
  <c r="O27"/>
  <c r="P26"/>
  <c r="P27" s="1"/>
  <c r="O26"/>
  <c r="M26" s="1"/>
  <c r="N26" s="1"/>
  <c r="O25"/>
  <c r="O17"/>
  <c r="M17" s="1"/>
  <c r="O16"/>
  <c r="K10"/>
  <c r="T198" s="1"/>
  <c r="Q354" l="1"/>
  <c r="P344"/>
  <c r="M327"/>
  <c r="L327" s="1"/>
  <c r="P327" s="1"/>
  <c r="M328" s="1"/>
  <c r="L328" s="1"/>
  <c r="P328" s="1"/>
  <c r="L293"/>
  <c r="P293" s="1"/>
  <c r="M294" s="1"/>
  <c r="L294" s="1"/>
  <c r="P294" s="1"/>
  <c r="M311"/>
  <c r="L311" s="1"/>
  <c r="P311" s="1"/>
  <c r="L312" s="1"/>
  <c r="M313"/>
  <c r="L313" s="1"/>
  <c r="M303"/>
  <c r="L303" s="1"/>
  <c r="P303" s="1"/>
  <c r="P291"/>
  <c r="L292" s="1"/>
  <c r="P281"/>
  <c r="M97"/>
  <c r="P271"/>
  <c r="M275"/>
  <c r="L275"/>
  <c r="P275" s="1"/>
  <c r="P261"/>
  <c r="L265"/>
  <c r="P265" s="1"/>
  <c r="M265"/>
  <c r="M62"/>
  <c r="N62" s="1"/>
  <c r="M71"/>
  <c r="N71" s="1"/>
  <c r="M80"/>
  <c r="N80" s="1"/>
  <c r="M89"/>
  <c r="N89" s="1"/>
  <c r="L97"/>
  <c r="L100" s="1"/>
  <c r="M98"/>
  <c r="N98" s="1"/>
  <c r="M172"/>
  <c r="N172" s="1"/>
  <c r="M231"/>
  <c r="L231" s="1"/>
  <c r="P231" s="1"/>
  <c r="M232" s="1"/>
  <c r="P241"/>
  <c r="M245"/>
  <c r="L245"/>
  <c r="P245" s="1"/>
  <c r="P251"/>
  <c r="M255"/>
  <c r="L255"/>
  <c r="P255" s="1"/>
  <c r="Z220"/>
  <c r="M212"/>
  <c r="L212"/>
  <c r="M116"/>
  <c r="L116" s="1"/>
  <c r="Y220"/>
  <c r="AC220" s="1"/>
  <c r="P220"/>
  <c r="P200"/>
  <c r="M201" s="1"/>
  <c r="L201" s="1"/>
  <c r="P116"/>
  <c r="M117" s="1"/>
  <c r="M16"/>
  <c r="M25"/>
  <c r="M44"/>
  <c r="N44" s="1"/>
  <c r="M107"/>
  <c r="N107" s="1"/>
  <c r="M191"/>
  <c r="L191" s="1"/>
  <c r="P191" s="1"/>
  <c r="M181"/>
  <c r="L181" s="1"/>
  <c r="M171"/>
  <c r="L171"/>
  <c r="L174" s="1"/>
  <c r="P172"/>
  <c r="M159"/>
  <c r="L159" s="1"/>
  <c r="P159" s="1"/>
  <c r="M147"/>
  <c r="L147" s="1"/>
  <c r="M137"/>
  <c r="L137" s="1"/>
  <c r="P137" s="1"/>
  <c r="M127"/>
  <c r="L127" s="1"/>
  <c r="M106"/>
  <c r="P108"/>
  <c r="M108"/>
  <c r="N108" s="1"/>
  <c r="L106"/>
  <c r="L109" s="1"/>
  <c r="P98"/>
  <c r="P87"/>
  <c r="P90"/>
  <c r="M90"/>
  <c r="N90" s="1"/>
  <c r="P78"/>
  <c r="P80"/>
  <c r="M35"/>
  <c r="M52"/>
  <c r="N52" s="1"/>
  <c r="L55"/>
  <c r="P69"/>
  <c r="P71"/>
  <c r="P63"/>
  <c r="M63"/>
  <c r="N63" s="1"/>
  <c r="P60"/>
  <c r="M54"/>
  <c r="N54" s="1"/>
  <c r="P54"/>
  <c r="M53"/>
  <c r="N53" s="1"/>
  <c r="M27"/>
  <c r="N27" s="1"/>
  <c r="M34"/>
  <c r="P42"/>
  <c r="M43" s="1"/>
  <c r="P44"/>
  <c r="M45" s="1"/>
  <c r="P17"/>
  <c r="M18" s="1"/>
  <c r="N17"/>
  <c r="N114" i="23"/>
  <c r="G108"/>
  <c r="G107"/>
  <c r="C11" i="4"/>
  <c r="D11" i="29"/>
  <c r="G10"/>
  <c r="G9"/>
  <c r="G8"/>
  <c r="H7"/>
  <c r="H8" s="1"/>
  <c r="G7"/>
  <c r="E7" s="1"/>
  <c r="L329" l="1"/>
  <c r="M329"/>
  <c r="M355"/>
  <c r="M345"/>
  <c r="L345" s="1"/>
  <c r="P345" s="1"/>
  <c r="N97"/>
  <c r="L314"/>
  <c r="M282"/>
  <c r="L282"/>
  <c r="P313"/>
  <c r="L301"/>
  <c r="L304" s="1"/>
  <c r="M301"/>
  <c r="M292"/>
  <c r="M272"/>
  <c r="L272" s="1"/>
  <c r="M262"/>
  <c r="L262" s="1"/>
  <c r="M242"/>
  <c r="L242" s="1"/>
  <c r="P242" s="1"/>
  <c r="M252"/>
  <c r="L252" s="1"/>
  <c r="L117"/>
  <c r="L119" s="1"/>
  <c r="L232"/>
  <c r="N212"/>
  <c r="P201"/>
  <c r="M202" s="1"/>
  <c r="L202" s="1"/>
  <c r="P202" s="1"/>
  <c r="M203" s="1"/>
  <c r="L203" s="1"/>
  <c r="N117"/>
  <c r="Y223"/>
  <c r="M221"/>
  <c r="L221" s="1"/>
  <c r="P221" s="1"/>
  <c r="P212"/>
  <c r="M160"/>
  <c r="L160" s="1"/>
  <c r="P160" s="1"/>
  <c r="P181"/>
  <c r="M192"/>
  <c r="L192" s="1"/>
  <c r="P192" s="1"/>
  <c r="P173"/>
  <c r="M173"/>
  <c r="N173" s="1"/>
  <c r="N171"/>
  <c r="P147"/>
  <c r="M138"/>
  <c r="L138"/>
  <c r="L140" s="1"/>
  <c r="P127"/>
  <c r="P118"/>
  <c r="M118"/>
  <c r="N118" s="1"/>
  <c r="N106"/>
  <c r="P99"/>
  <c r="M99"/>
  <c r="N99" s="1"/>
  <c r="M88"/>
  <c r="L88"/>
  <c r="L91" s="1"/>
  <c r="P81"/>
  <c r="M81"/>
  <c r="N81" s="1"/>
  <c r="M79"/>
  <c r="L79"/>
  <c r="L82" s="1"/>
  <c r="P72"/>
  <c r="M72"/>
  <c r="N72" s="1"/>
  <c r="M70"/>
  <c r="L70"/>
  <c r="L73" s="1"/>
  <c r="L61"/>
  <c r="L64" s="1"/>
  <c r="M61"/>
  <c r="L43"/>
  <c r="L46" s="1"/>
  <c r="N45"/>
  <c r="P45"/>
  <c r="L16"/>
  <c r="L19" s="1"/>
  <c r="L25"/>
  <c r="L28" s="1"/>
  <c r="P18"/>
  <c r="N18"/>
  <c r="E8"/>
  <c r="F8" s="1"/>
  <c r="E9"/>
  <c r="F9" s="1"/>
  <c r="H9"/>
  <c r="F7"/>
  <c r="Q355" l="1"/>
  <c r="M346"/>
  <c r="L346" s="1"/>
  <c r="P346" s="1"/>
  <c r="N282"/>
  <c r="N301"/>
  <c r="N292"/>
  <c r="L295"/>
  <c r="P272"/>
  <c r="P262"/>
  <c r="L243"/>
  <c r="M243"/>
  <c r="L246"/>
  <c r="P252"/>
  <c r="M253" s="1"/>
  <c r="P232"/>
  <c r="M222"/>
  <c r="L222" s="1"/>
  <c r="P222" s="1"/>
  <c r="L128"/>
  <c r="M128"/>
  <c r="M182"/>
  <c r="L182" s="1"/>
  <c r="M161"/>
  <c r="L161"/>
  <c r="L162" s="1"/>
  <c r="N43"/>
  <c r="N61"/>
  <c r="P203"/>
  <c r="L193"/>
  <c r="P193" s="1"/>
  <c r="M193"/>
  <c r="L194"/>
  <c r="L148"/>
  <c r="L150" s="1"/>
  <c r="M148"/>
  <c r="N138"/>
  <c r="L130"/>
  <c r="N88"/>
  <c r="N79"/>
  <c r="N70"/>
  <c r="N16"/>
  <c r="N25"/>
  <c r="E10"/>
  <c r="F10" s="1"/>
  <c r="H10"/>
  <c r="L356" l="1"/>
  <c r="M356"/>
  <c r="N356"/>
  <c r="P347"/>
  <c r="M347"/>
  <c r="L347" s="1"/>
  <c r="L348"/>
  <c r="M283"/>
  <c r="L283" s="1"/>
  <c r="P283" s="1"/>
  <c r="L273"/>
  <c r="M273"/>
  <c r="M263"/>
  <c r="L263"/>
  <c r="M233"/>
  <c r="L233"/>
  <c r="N243"/>
  <c r="L253"/>
  <c r="M223"/>
  <c r="L223" s="1"/>
  <c r="P223" s="1"/>
  <c r="L224" s="1"/>
  <c r="M204"/>
  <c r="L204" s="1"/>
  <c r="P204" s="1"/>
  <c r="N148"/>
  <c r="N161"/>
  <c r="P182"/>
  <c r="N193"/>
  <c r="N128"/>
  <c r="E11"/>
  <c r="M357" l="1"/>
  <c r="Q357" s="1"/>
  <c r="N357" s="1"/>
  <c r="N273"/>
  <c r="L276"/>
  <c r="N263"/>
  <c r="L266"/>
  <c r="N233"/>
  <c r="N253"/>
  <c r="L256"/>
  <c r="M234"/>
  <c r="L234" s="1"/>
  <c r="P234" s="1"/>
  <c r="M224"/>
  <c r="P224" s="1"/>
  <c r="L205"/>
  <c r="M205"/>
  <c r="P205"/>
  <c r="L183"/>
  <c r="L184" s="1"/>
  <c r="M183"/>
  <c r="B5" i="27"/>
  <c r="F4"/>
  <c r="C5"/>
  <c r="C4"/>
  <c r="D63" i="26"/>
  <c r="F2"/>
  <c r="C5"/>
  <c r="C4"/>
  <c r="C3"/>
  <c r="C2"/>
  <c r="C4" i="23"/>
  <c r="F2"/>
  <c r="O114" i="24"/>
  <c r="M112"/>
  <c r="D80"/>
  <c r="D79"/>
  <c r="O80"/>
  <c r="F2"/>
  <c r="C5" i="23"/>
  <c r="C3"/>
  <c r="C2"/>
  <c r="C5" i="24"/>
  <c r="C4"/>
  <c r="C3"/>
  <c r="C2"/>
  <c r="E6" i="21"/>
  <c r="E5"/>
  <c r="E4"/>
  <c r="E3"/>
  <c r="D6"/>
  <c r="D5"/>
  <c r="D3"/>
  <c r="C6"/>
  <c r="C5"/>
  <c r="C4"/>
  <c r="C3"/>
  <c r="C7" i="27"/>
  <c r="C6"/>
  <c r="B7"/>
  <c r="B6"/>
  <c r="B4"/>
  <c r="C196"/>
  <c r="G201"/>
  <c r="C134"/>
  <c r="G139"/>
  <c r="G79"/>
  <c r="C74"/>
  <c r="G18"/>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M22"/>
  <c r="D19" s="1"/>
  <c r="C22"/>
  <c r="C21"/>
  <c r="C20"/>
  <c r="C19"/>
  <c r="C68" s="1"/>
  <c r="M18"/>
  <c r="M205"/>
  <c r="D202" s="1"/>
  <c r="M201"/>
  <c r="O203" s="1"/>
  <c r="F203" s="1"/>
  <c r="C176"/>
  <c r="C177"/>
  <c r="C178"/>
  <c r="C179"/>
  <c r="C180"/>
  <c r="C181"/>
  <c r="C182"/>
  <c r="C183"/>
  <c r="C184"/>
  <c r="C185"/>
  <c r="C186"/>
  <c r="C187"/>
  <c r="M143"/>
  <c r="M139"/>
  <c r="O141" s="1"/>
  <c r="C116"/>
  <c r="C117"/>
  <c r="C118"/>
  <c r="C119"/>
  <c r="C120"/>
  <c r="C121"/>
  <c r="C122"/>
  <c r="C123"/>
  <c r="C124"/>
  <c r="C125"/>
  <c r="C126"/>
  <c r="C127"/>
  <c r="M83"/>
  <c r="D80" s="1"/>
  <c r="M79"/>
  <c r="O81" s="1"/>
  <c r="F80" s="1"/>
  <c r="L164" i="26"/>
  <c r="D161" s="1"/>
  <c r="L160"/>
  <c r="N162" s="1"/>
  <c r="L114"/>
  <c r="D111" s="1"/>
  <c r="L110"/>
  <c r="N112" s="1"/>
  <c r="F113" s="1"/>
  <c r="L66"/>
  <c r="L62"/>
  <c r="N64" s="1"/>
  <c r="L116" i="23"/>
  <c r="D113" s="1"/>
  <c r="L112"/>
  <c r="F114" s="1"/>
  <c r="L82"/>
  <c r="D79" s="1"/>
  <c r="L78"/>
  <c r="N80" s="1"/>
  <c r="L50"/>
  <c r="D47" s="1"/>
  <c r="L46"/>
  <c r="N48" s="1"/>
  <c r="C80" i="24"/>
  <c r="C81"/>
  <c r="C82"/>
  <c r="C83"/>
  <c r="C84"/>
  <c r="C85"/>
  <c r="C86"/>
  <c r="C87"/>
  <c r="C88"/>
  <c r="C89"/>
  <c r="C90"/>
  <c r="C91"/>
  <c r="C92"/>
  <c r="C93"/>
  <c r="C94"/>
  <c r="C95"/>
  <c r="C96"/>
  <c r="C97"/>
  <c r="C98"/>
  <c r="M116"/>
  <c r="D113" s="1"/>
  <c r="M82"/>
  <c r="M78"/>
  <c r="M50"/>
  <c r="D47" s="1"/>
  <c r="M46"/>
  <c r="O48" s="1"/>
  <c r="F49" s="1"/>
  <c r="D92" i="21"/>
  <c r="C40"/>
  <c r="J54"/>
  <c r="M95"/>
  <c r="O93"/>
  <c r="M91"/>
  <c r="M68"/>
  <c r="D65" s="1"/>
  <c r="M64"/>
  <c r="O66" s="1"/>
  <c r="M43"/>
  <c r="M39"/>
  <c r="O41" s="1"/>
  <c r="C238" i="27"/>
  <c r="C239"/>
  <c r="C240"/>
  <c r="C241"/>
  <c r="C242"/>
  <c r="C243"/>
  <c r="C244"/>
  <c r="C245"/>
  <c r="C246"/>
  <c r="C247"/>
  <c r="C248"/>
  <c r="C249"/>
  <c r="G5" i="4"/>
  <c r="E201"/>
  <c r="D201"/>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152"/>
  <c r="C188"/>
  <c r="C189"/>
  <c r="C190"/>
  <c r="C191"/>
  <c r="C192"/>
  <c r="C193"/>
  <c r="C194"/>
  <c r="C195"/>
  <c r="C196"/>
  <c r="C197"/>
  <c r="C198"/>
  <c r="C199"/>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B152"/>
  <c r="D152" s="1"/>
  <c r="F5"/>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11"/>
  <c r="C136"/>
  <c r="C137"/>
  <c r="C138"/>
  <c r="C139"/>
  <c r="C140"/>
  <c r="C141"/>
  <c r="C142"/>
  <c r="C143"/>
  <c r="C144"/>
  <c r="C145"/>
  <c r="C146"/>
  <c r="C135"/>
  <c r="C134"/>
  <c r="C133"/>
  <c r="C132"/>
  <c r="C131"/>
  <c r="C130"/>
  <c r="C129"/>
  <c r="C128"/>
  <c r="C127"/>
  <c r="C126"/>
  <c r="C125"/>
  <c r="C124"/>
  <c r="C123"/>
  <c r="C122"/>
  <c r="C121"/>
  <c r="C120"/>
  <c r="C119"/>
  <c r="C118"/>
  <c r="C117"/>
  <c r="C116"/>
  <c r="C115"/>
  <c r="C114"/>
  <c r="C113"/>
  <c r="C112"/>
  <c r="H111"/>
  <c r="C111"/>
  <c r="B111"/>
  <c r="D111" s="1"/>
  <c r="E5"/>
  <c r="E106"/>
  <c r="D106"/>
  <c r="B101"/>
  <c r="C101"/>
  <c r="D101" s="1"/>
  <c r="E101"/>
  <c r="F101" s="1"/>
  <c r="B102" s="1"/>
  <c r="C102"/>
  <c r="E102"/>
  <c r="C103"/>
  <c r="E103"/>
  <c r="C104"/>
  <c r="E104"/>
  <c r="C105"/>
  <c r="E105"/>
  <c r="E82"/>
  <c r="E83"/>
  <c r="E84"/>
  <c r="E85"/>
  <c r="E86"/>
  <c r="E87"/>
  <c r="E88"/>
  <c r="E89"/>
  <c r="E90"/>
  <c r="E91"/>
  <c r="E92"/>
  <c r="E93"/>
  <c r="E94"/>
  <c r="E95"/>
  <c r="E96"/>
  <c r="E97"/>
  <c r="E98"/>
  <c r="E99"/>
  <c r="E100"/>
  <c r="E81"/>
  <c r="B81"/>
  <c r="D81" s="1"/>
  <c r="C100"/>
  <c r="C99"/>
  <c r="C98"/>
  <c r="C97"/>
  <c r="C96"/>
  <c r="C95"/>
  <c r="C94"/>
  <c r="C93"/>
  <c r="C92"/>
  <c r="C91"/>
  <c r="C90"/>
  <c r="C89"/>
  <c r="C88"/>
  <c r="C87"/>
  <c r="C86"/>
  <c r="C85"/>
  <c r="C84"/>
  <c r="C83"/>
  <c r="C82"/>
  <c r="F81"/>
  <c r="B82" s="1"/>
  <c r="F82" s="1"/>
  <c r="B83" s="1"/>
  <c r="C81"/>
  <c r="E32"/>
  <c r="E33"/>
  <c r="E34"/>
  <c r="E35"/>
  <c r="E36"/>
  <c r="E37"/>
  <c r="E38"/>
  <c r="E39"/>
  <c r="E40"/>
  <c r="E41"/>
  <c r="E42"/>
  <c r="E43"/>
  <c r="E44"/>
  <c r="E45"/>
  <c r="E46"/>
  <c r="E47"/>
  <c r="E48"/>
  <c r="E49"/>
  <c r="E50"/>
  <c r="E31"/>
  <c r="B31"/>
  <c r="C50"/>
  <c r="C49"/>
  <c r="C48"/>
  <c r="C47"/>
  <c r="C46"/>
  <c r="C45"/>
  <c r="C44"/>
  <c r="C43"/>
  <c r="C42"/>
  <c r="C41"/>
  <c r="C40"/>
  <c r="C39"/>
  <c r="C38"/>
  <c r="C37"/>
  <c r="C36"/>
  <c r="C35"/>
  <c r="C34"/>
  <c r="C33"/>
  <c r="C32"/>
  <c r="D31"/>
  <c r="C31"/>
  <c r="B11"/>
  <c r="E12"/>
  <c r="E13"/>
  <c r="E14"/>
  <c r="E15"/>
  <c r="E16"/>
  <c r="E17"/>
  <c r="E18"/>
  <c r="E19"/>
  <c r="E20"/>
  <c r="E21"/>
  <c r="E22"/>
  <c r="E23"/>
  <c r="E24"/>
  <c r="E25"/>
  <c r="E11"/>
  <c r="F11" s="1"/>
  <c r="B12" s="1"/>
  <c r="C25"/>
  <c r="C24"/>
  <c r="C23"/>
  <c r="C22"/>
  <c r="C21"/>
  <c r="C20"/>
  <c r="C19"/>
  <c r="C18"/>
  <c r="C17"/>
  <c r="C16"/>
  <c r="C15"/>
  <c r="C14"/>
  <c r="C13"/>
  <c r="C12"/>
  <c r="C237" i="2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52" s="1"/>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89" s="1"/>
  <c r="C115"/>
  <c r="C114"/>
  <c r="C113"/>
  <c r="C112"/>
  <c r="C111"/>
  <c r="C110"/>
  <c r="C109"/>
  <c r="C108"/>
  <c r="C107"/>
  <c r="C106"/>
  <c r="C105"/>
  <c r="C104"/>
  <c r="C103"/>
  <c r="C102"/>
  <c r="C101"/>
  <c r="C100"/>
  <c r="C99"/>
  <c r="C98"/>
  <c r="C97"/>
  <c r="C96"/>
  <c r="C95"/>
  <c r="C94"/>
  <c r="C93"/>
  <c r="C92"/>
  <c r="C91"/>
  <c r="C90"/>
  <c r="C89"/>
  <c r="C88"/>
  <c r="C87"/>
  <c r="C86"/>
  <c r="C85"/>
  <c r="C84"/>
  <c r="C83"/>
  <c r="C82"/>
  <c r="C81"/>
  <c r="C129" s="1"/>
  <c r="C80"/>
  <c r="C39" i="26"/>
  <c r="C40"/>
  <c r="C41"/>
  <c r="C42"/>
  <c r="C43"/>
  <c r="C44"/>
  <c r="C45"/>
  <c r="C46"/>
  <c r="C47"/>
  <c r="C48"/>
  <c r="C49"/>
  <c r="C50"/>
  <c r="C87"/>
  <c r="C88"/>
  <c r="C100" s="1"/>
  <c r="C89"/>
  <c r="C90"/>
  <c r="C91"/>
  <c r="C92"/>
  <c r="C93"/>
  <c r="C94"/>
  <c r="C95"/>
  <c r="C96"/>
  <c r="C97"/>
  <c r="C98"/>
  <c r="C135"/>
  <c r="C136"/>
  <c r="C148" s="1"/>
  <c r="C137"/>
  <c r="C138"/>
  <c r="C139"/>
  <c r="C140"/>
  <c r="C141"/>
  <c r="C142"/>
  <c r="C143"/>
  <c r="C144"/>
  <c r="C145"/>
  <c r="C146"/>
  <c r="C186"/>
  <c r="C198" s="1"/>
  <c r="C187"/>
  <c r="C188"/>
  <c r="C189"/>
  <c r="C190"/>
  <c r="C191"/>
  <c r="C192"/>
  <c r="C193"/>
  <c r="C194"/>
  <c r="C195"/>
  <c r="C196"/>
  <c r="C185"/>
  <c r="C184"/>
  <c r="C183"/>
  <c r="C182"/>
  <c r="C181"/>
  <c r="C180"/>
  <c r="C179"/>
  <c r="C178"/>
  <c r="C177"/>
  <c r="C176"/>
  <c r="C175"/>
  <c r="C174"/>
  <c r="C173"/>
  <c r="C172"/>
  <c r="C171"/>
  <c r="C170"/>
  <c r="C169"/>
  <c r="C168"/>
  <c r="C167"/>
  <c r="C166"/>
  <c r="C165"/>
  <c r="C164"/>
  <c r="C163"/>
  <c r="C162"/>
  <c r="C161"/>
  <c r="G160"/>
  <c r="C156"/>
  <c r="C155"/>
  <c r="C134"/>
  <c r="C133"/>
  <c r="C132"/>
  <c r="C131"/>
  <c r="C130"/>
  <c r="C129"/>
  <c r="C128"/>
  <c r="C127"/>
  <c r="C126"/>
  <c r="C125"/>
  <c r="C124"/>
  <c r="C123"/>
  <c r="C122"/>
  <c r="C121"/>
  <c r="C120"/>
  <c r="C119"/>
  <c r="C118"/>
  <c r="C117"/>
  <c r="C116"/>
  <c r="C115"/>
  <c r="C114"/>
  <c r="C113"/>
  <c r="C112"/>
  <c r="C111"/>
  <c r="G110"/>
  <c r="C106"/>
  <c r="C105"/>
  <c r="C86"/>
  <c r="C85"/>
  <c r="C84"/>
  <c r="C83"/>
  <c r="C82"/>
  <c r="C81"/>
  <c r="C80"/>
  <c r="C79"/>
  <c r="C78"/>
  <c r="C77"/>
  <c r="C76"/>
  <c r="C75"/>
  <c r="C74"/>
  <c r="C73"/>
  <c r="C72"/>
  <c r="C71"/>
  <c r="C70"/>
  <c r="C69"/>
  <c r="C68"/>
  <c r="C67"/>
  <c r="C66"/>
  <c r="C65"/>
  <c r="C64"/>
  <c r="C63"/>
  <c r="G62"/>
  <c r="C58"/>
  <c r="C57"/>
  <c r="C38"/>
  <c r="C37"/>
  <c r="C36"/>
  <c r="C35"/>
  <c r="C34"/>
  <c r="C33"/>
  <c r="C32"/>
  <c r="C31"/>
  <c r="C30"/>
  <c r="C29"/>
  <c r="C28"/>
  <c r="C27"/>
  <c r="C26"/>
  <c r="C25"/>
  <c r="C24"/>
  <c r="C23"/>
  <c r="C22"/>
  <c r="C21"/>
  <c r="C20"/>
  <c r="C19"/>
  <c r="C18"/>
  <c r="C17"/>
  <c r="C16"/>
  <c r="C15"/>
  <c r="G14"/>
  <c r="C10"/>
  <c r="C9"/>
  <c r="L18"/>
  <c r="D15" s="1"/>
  <c r="L14"/>
  <c r="N16" s="1"/>
  <c r="C132" i="24"/>
  <c r="C131"/>
  <c r="C130"/>
  <c r="C129"/>
  <c r="C128"/>
  <c r="C127"/>
  <c r="C126"/>
  <c r="C125"/>
  <c r="C124"/>
  <c r="C123"/>
  <c r="C122"/>
  <c r="C121"/>
  <c r="C120"/>
  <c r="C119"/>
  <c r="C118"/>
  <c r="C117"/>
  <c r="C116"/>
  <c r="C115"/>
  <c r="C114"/>
  <c r="C113"/>
  <c r="C134" s="1"/>
  <c r="G112"/>
  <c r="C108"/>
  <c r="C107"/>
  <c r="C79"/>
  <c r="C100" s="1"/>
  <c r="G78"/>
  <c r="C74"/>
  <c r="C73"/>
  <c r="C66"/>
  <c r="C65"/>
  <c r="C64"/>
  <c r="C63"/>
  <c r="C62"/>
  <c r="C61"/>
  <c r="C60"/>
  <c r="C59"/>
  <c r="C58"/>
  <c r="C57"/>
  <c r="C56"/>
  <c r="C55"/>
  <c r="C54"/>
  <c r="C53"/>
  <c r="C52"/>
  <c r="C51"/>
  <c r="C50"/>
  <c r="C49"/>
  <c r="C48"/>
  <c r="C47"/>
  <c r="C68" s="1"/>
  <c r="G46"/>
  <c r="C42"/>
  <c r="C41"/>
  <c r="C34"/>
  <c r="C33"/>
  <c r="C32"/>
  <c r="C31"/>
  <c r="C30"/>
  <c r="C29"/>
  <c r="C28"/>
  <c r="C27"/>
  <c r="C26"/>
  <c r="C25"/>
  <c r="C24"/>
  <c r="C23"/>
  <c r="C22"/>
  <c r="C21"/>
  <c r="C20"/>
  <c r="C19"/>
  <c r="C18"/>
  <c r="C17"/>
  <c r="C16"/>
  <c r="C15"/>
  <c r="C36" s="1"/>
  <c r="G14"/>
  <c r="C10"/>
  <c r="C9"/>
  <c r="M18"/>
  <c r="M14"/>
  <c r="O16" s="1"/>
  <c r="C108" i="23"/>
  <c r="C74"/>
  <c r="C42"/>
  <c r="C10"/>
  <c r="C132"/>
  <c r="C131"/>
  <c r="C130"/>
  <c r="C129"/>
  <c r="C128"/>
  <c r="C134" s="1"/>
  <c r="C98"/>
  <c r="C97"/>
  <c r="C96"/>
  <c r="C95"/>
  <c r="C94"/>
  <c r="C100" s="1"/>
  <c r="C66"/>
  <c r="C65"/>
  <c r="C64"/>
  <c r="C63"/>
  <c r="C62"/>
  <c r="C68" s="1"/>
  <c r="C34"/>
  <c r="C33"/>
  <c r="C32"/>
  <c r="C31"/>
  <c r="C30"/>
  <c r="C36" s="1"/>
  <c r="C107"/>
  <c r="C73"/>
  <c r="C41"/>
  <c r="C9"/>
  <c r="C127"/>
  <c r="C126"/>
  <c r="C125"/>
  <c r="C124"/>
  <c r="C123"/>
  <c r="C122"/>
  <c r="C121"/>
  <c r="C120"/>
  <c r="C119"/>
  <c r="C118"/>
  <c r="C117"/>
  <c r="C116"/>
  <c r="C115"/>
  <c r="C114"/>
  <c r="C113"/>
  <c r="G112"/>
  <c r="C93"/>
  <c r="C92"/>
  <c r="C91"/>
  <c r="C90"/>
  <c r="C89"/>
  <c r="C88"/>
  <c r="C87"/>
  <c r="C86"/>
  <c r="C85"/>
  <c r="C84"/>
  <c r="C83"/>
  <c r="C82"/>
  <c r="C81"/>
  <c r="C80"/>
  <c r="C79"/>
  <c r="G78"/>
  <c r="C61"/>
  <c r="C60"/>
  <c r="C59"/>
  <c r="C58"/>
  <c r="C57"/>
  <c r="C56"/>
  <c r="C55"/>
  <c r="C54"/>
  <c r="C53"/>
  <c r="C52"/>
  <c r="C51"/>
  <c r="C50"/>
  <c r="C49"/>
  <c r="C48"/>
  <c r="C47"/>
  <c r="G46"/>
  <c r="C29"/>
  <c r="C28"/>
  <c r="C27"/>
  <c r="C26"/>
  <c r="C25"/>
  <c r="C24"/>
  <c r="C23"/>
  <c r="C22"/>
  <c r="C21"/>
  <c r="C20"/>
  <c r="C19"/>
  <c r="C18"/>
  <c r="C17"/>
  <c r="C16"/>
  <c r="C15"/>
  <c r="G14"/>
  <c r="L18"/>
  <c r="D15" s="1"/>
  <c r="L14"/>
  <c r="N16" s="1"/>
  <c r="F29" s="1"/>
  <c r="J106" i="21"/>
  <c r="J79"/>
  <c r="G91"/>
  <c r="G64"/>
  <c r="G39"/>
  <c r="C106"/>
  <c r="C105"/>
  <c r="C104"/>
  <c r="C103"/>
  <c r="C102"/>
  <c r="C101"/>
  <c r="C100"/>
  <c r="C99"/>
  <c r="C98"/>
  <c r="C97"/>
  <c r="C96"/>
  <c r="C95"/>
  <c r="C94"/>
  <c r="C93"/>
  <c r="C92"/>
  <c r="C107" s="1"/>
  <c r="C79"/>
  <c r="C78"/>
  <c r="C77"/>
  <c r="C76"/>
  <c r="C75"/>
  <c r="C74"/>
  <c r="C73"/>
  <c r="C72"/>
  <c r="C71"/>
  <c r="C70"/>
  <c r="C69"/>
  <c r="C68"/>
  <c r="C67"/>
  <c r="C66"/>
  <c r="C65"/>
  <c r="C80" s="1"/>
  <c r="C59"/>
  <c r="C54"/>
  <c r="C53"/>
  <c r="C52"/>
  <c r="C51"/>
  <c r="C50"/>
  <c r="C49"/>
  <c r="C48"/>
  <c r="C47"/>
  <c r="C46"/>
  <c r="C45"/>
  <c r="C44"/>
  <c r="C43"/>
  <c r="C42"/>
  <c r="C41"/>
  <c r="C55"/>
  <c r="C34"/>
  <c r="J29"/>
  <c r="C29"/>
  <c r="C28"/>
  <c r="C27"/>
  <c r="C26"/>
  <c r="C25"/>
  <c r="C24"/>
  <c r="C23"/>
  <c r="C22"/>
  <c r="C21"/>
  <c r="C20"/>
  <c r="C19"/>
  <c r="C18"/>
  <c r="C17"/>
  <c r="C16"/>
  <c r="C15"/>
  <c r="M18"/>
  <c r="D15" s="1"/>
  <c r="M14"/>
  <c r="O16" s="1"/>
  <c r="F27" s="1"/>
  <c r="C71" i="4"/>
  <c r="C72"/>
  <c r="C73"/>
  <c r="C74"/>
  <c r="C75"/>
  <c r="E57"/>
  <c r="E58"/>
  <c r="E59"/>
  <c r="E60"/>
  <c r="E61"/>
  <c r="E62"/>
  <c r="E63"/>
  <c r="E64"/>
  <c r="E65"/>
  <c r="E66"/>
  <c r="E67"/>
  <c r="E68"/>
  <c r="E69"/>
  <c r="E70"/>
  <c r="E71"/>
  <c r="E72"/>
  <c r="E73"/>
  <c r="E74"/>
  <c r="E75"/>
  <c r="E56"/>
  <c r="L358" i="29" l="1"/>
  <c r="N224"/>
  <c r="M235"/>
  <c r="L235"/>
  <c r="N183"/>
  <c r="N205"/>
  <c r="L206"/>
  <c r="P183"/>
  <c r="D40" i="21"/>
  <c r="F142" i="27"/>
  <c r="F144"/>
  <c r="F160"/>
  <c r="F176"/>
  <c r="F148"/>
  <c r="F156"/>
  <c r="F172"/>
  <c r="F164"/>
  <c r="F152"/>
  <c r="F168"/>
  <c r="F184"/>
  <c r="F180"/>
  <c r="O20"/>
  <c r="F21" s="1"/>
  <c r="F162" i="26"/>
  <c r="F166"/>
  <c r="F170"/>
  <c r="F174"/>
  <c r="F178"/>
  <c r="F182"/>
  <c r="F186"/>
  <c r="F190"/>
  <c r="F194"/>
  <c r="F163"/>
  <c r="F167"/>
  <c r="F171"/>
  <c r="F175"/>
  <c r="F179"/>
  <c r="F183"/>
  <c r="F187"/>
  <c r="F191"/>
  <c r="F195"/>
  <c r="F165"/>
  <c r="F169"/>
  <c r="F173"/>
  <c r="F177"/>
  <c r="F181"/>
  <c r="F185"/>
  <c r="F189"/>
  <c r="F193"/>
  <c r="F164"/>
  <c r="F168"/>
  <c r="F172"/>
  <c r="F176"/>
  <c r="F180"/>
  <c r="F184"/>
  <c r="F188"/>
  <c r="F192"/>
  <c r="F161"/>
  <c r="E5" s="1"/>
  <c r="F114"/>
  <c r="F111"/>
  <c r="E4" s="1"/>
  <c r="F122"/>
  <c r="F138"/>
  <c r="F130"/>
  <c r="F139"/>
  <c r="F131"/>
  <c r="F123"/>
  <c r="F115"/>
  <c r="F143"/>
  <c r="F135"/>
  <c r="F127"/>
  <c r="F119"/>
  <c r="F142"/>
  <c r="F134"/>
  <c r="F126"/>
  <c r="F118"/>
  <c r="F144"/>
  <c r="F140"/>
  <c r="F136"/>
  <c r="F132"/>
  <c r="F128"/>
  <c r="F124"/>
  <c r="F120"/>
  <c r="F116"/>
  <c r="F112"/>
  <c r="F145"/>
  <c r="F141"/>
  <c r="F137"/>
  <c r="F133"/>
  <c r="F129"/>
  <c r="F125"/>
  <c r="F121"/>
  <c r="F117"/>
  <c r="F67"/>
  <c r="F77"/>
  <c r="F93"/>
  <c r="F66"/>
  <c r="F82"/>
  <c r="F63"/>
  <c r="E3" s="1"/>
  <c r="F74"/>
  <c r="F90"/>
  <c r="F69"/>
  <c r="F85"/>
  <c r="F97"/>
  <c r="F89"/>
  <c r="F81"/>
  <c r="F73"/>
  <c r="F65"/>
  <c r="F94"/>
  <c r="F86"/>
  <c r="F78"/>
  <c r="F70"/>
  <c r="F96"/>
  <c r="F92"/>
  <c r="F88"/>
  <c r="F84"/>
  <c r="F80"/>
  <c r="F76"/>
  <c r="F72"/>
  <c r="F68"/>
  <c r="F64"/>
  <c r="F95"/>
  <c r="F91"/>
  <c r="F87"/>
  <c r="F83"/>
  <c r="F79"/>
  <c r="F75"/>
  <c r="F71"/>
  <c r="F119" i="23"/>
  <c r="F123"/>
  <c r="F127"/>
  <c r="F131"/>
  <c r="F115"/>
  <c r="F80"/>
  <c r="F84"/>
  <c r="F88"/>
  <c r="F92"/>
  <c r="F96"/>
  <c r="F82"/>
  <c r="F94"/>
  <c r="F81"/>
  <c r="F89"/>
  <c r="F97"/>
  <c r="F83"/>
  <c r="F87"/>
  <c r="F91"/>
  <c r="F95"/>
  <c r="F86"/>
  <c r="F90"/>
  <c r="F79"/>
  <c r="E4" s="1"/>
  <c r="F85"/>
  <c r="F93"/>
  <c r="F52"/>
  <c r="F51"/>
  <c r="F63"/>
  <c r="F59"/>
  <c r="F55"/>
  <c r="F49"/>
  <c r="F82" i="24"/>
  <c r="D15"/>
  <c r="F128" i="23"/>
  <c r="F124"/>
  <c r="F120"/>
  <c r="F116"/>
  <c r="F113"/>
  <c r="E5" s="1"/>
  <c r="F129"/>
  <c r="F125"/>
  <c r="F121"/>
  <c r="F117"/>
  <c r="F130"/>
  <c r="F126"/>
  <c r="F122"/>
  <c r="F118"/>
  <c r="F30"/>
  <c r="F22"/>
  <c r="F15"/>
  <c r="E2" s="1"/>
  <c r="F33"/>
  <c r="F25"/>
  <c r="F26"/>
  <c r="F90" i="27"/>
  <c r="F94"/>
  <c r="F98"/>
  <c r="F102"/>
  <c r="F106"/>
  <c r="F110"/>
  <c r="F114"/>
  <c r="F118"/>
  <c r="F122"/>
  <c r="F126"/>
  <c r="F83"/>
  <c r="F87"/>
  <c r="F89"/>
  <c r="F93"/>
  <c r="F97"/>
  <c r="F101"/>
  <c r="F105"/>
  <c r="F109"/>
  <c r="F113"/>
  <c r="F117"/>
  <c r="F121"/>
  <c r="F125"/>
  <c r="F82"/>
  <c r="F86"/>
  <c r="F100"/>
  <c r="F108"/>
  <c r="F116"/>
  <c r="F124"/>
  <c r="F81"/>
  <c r="F91"/>
  <c r="F95"/>
  <c r="F99"/>
  <c r="F103"/>
  <c r="F107"/>
  <c r="F111"/>
  <c r="F115"/>
  <c r="F119"/>
  <c r="F123"/>
  <c r="F84"/>
  <c r="F88"/>
  <c r="F92"/>
  <c r="F96"/>
  <c r="F104"/>
  <c r="F112"/>
  <c r="F120"/>
  <c r="F85"/>
  <c r="D140"/>
  <c r="F245"/>
  <c r="F241"/>
  <c r="F237"/>
  <c r="F233"/>
  <c r="F229"/>
  <c r="F225"/>
  <c r="F221"/>
  <c r="F217"/>
  <c r="F213"/>
  <c r="F209"/>
  <c r="F205"/>
  <c r="F140"/>
  <c r="F183"/>
  <c r="F179"/>
  <c r="F175"/>
  <c r="F171"/>
  <c r="F167"/>
  <c r="F163"/>
  <c r="F159"/>
  <c r="F155"/>
  <c r="F151"/>
  <c r="F147"/>
  <c r="F143"/>
  <c r="F248"/>
  <c r="F244"/>
  <c r="F240"/>
  <c r="F236"/>
  <c r="F232"/>
  <c r="F228"/>
  <c r="F224"/>
  <c r="F220"/>
  <c r="F216"/>
  <c r="F212"/>
  <c r="F208"/>
  <c r="F204"/>
  <c r="F185"/>
  <c r="F181"/>
  <c r="F177"/>
  <c r="F173"/>
  <c r="F169"/>
  <c r="F165"/>
  <c r="F161"/>
  <c r="F157"/>
  <c r="F153"/>
  <c r="F149"/>
  <c r="F145"/>
  <c r="F141"/>
  <c r="F246"/>
  <c r="F242"/>
  <c r="F238"/>
  <c r="F234"/>
  <c r="F230"/>
  <c r="F226"/>
  <c r="F222"/>
  <c r="F218"/>
  <c r="F214"/>
  <c r="F210"/>
  <c r="F206"/>
  <c r="F186"/>
  <c r="F182"/>
  <c r="F178"/>
  <c r="F174"/>
  <c r="F170"/>
  <c r="F166"/>
  <c r="F162"/>
  <c r="F158"/>
  <c r="F154"/>
  <c r="F150"/>
  <c r="F146"/>
  <c r="F202"/>
  <c r="E7" s="1"/>
  <c r="F247"/>
  <c r="F243"/>
  <c r="F239"/>
  <c r="F235"/>
  <c r="F231"/>
  <c r="F227"/>
  <c r="F223"/>
  <c r="F219"/>
  <c r="F215"/>
  <c r="F211"/>
  <c r="F207"/>
  <c r="F48" i="26"/>
  <c r="F44"/>
  <c r="F42"/>
  <c r="F40"/>
  <c r="F49"/>
  <c r="F47"/>
  <c r="F45"/>
  <c r="F43"/>
  <c r="F41"/>
  <c r="F39"/>
  <c r="F46"/>
  <c r="F64" i="23"/>
  <c r="F60"/>
  <c r="F56"/>
  <c r="F48"/>
  <c r="F47"/>
  <c r="E3" s="1"/>
  <c r="F62"/>
  <c r="F58"/>
  <c r="F54"/>
  <c r="F50"/>
  <c r="F65"/>
  <c r="F61"/>
  <c r="F57"/>
  <c r="F53"/>
  <c r="F31"/>
  <c r="F27"/>
  <c r="F23"/>
  <c r="F32"/>
  <c r="F28"/>
  <c r="F24"/>
  <c r="F117" i="24"/>
  <c r="F113"/>
  <c r="E5" s="1"/>
  <c r="F130"/>
  <c r="F114"/>
  <c r="F118"/>
  <c r="F122"/>
  <c r="F126"/>
  <c r="F127"/>
  <c r="F123"/>
  <c r="F115"/>
  <c r="F128"/>
  <c r="F124"/>
  <c r="F120"/>
  <c r="F116"/>
  <c r="F131"/>
  <c r="F119"/>
  <c r="F129"/>
  <c r="F125"/>
  <c r="F121"/>
  <c r="F91"/>
  <c r="F87"/>
  <c r="F83"/>
  <c r="F96"/>
  <c r="F88"/>
  <c r="F80"/>
  <c r="F79"/>
  <c r="E4" s="1"/>
  <c r="F97"/>
  <c r="F93"/>
  <c r="F89"/>
  <c r="F85"/>
  <c r="F81"/>
  <c r="F95"/>
  <c r="F92"/>
  <c r="F84"/>
  <c r="F94"/>
  <c r="F90"/>
  <c r="F86"/>
  <c r="F62"/>
  <c r="F50"/>
  <c r="F51"/>
  <c r="F54"/>
  <c r="F58"/>
  <c r="F47"/>
  <c r="E3" s="1"/>
  <c r="F63"/>
  <c r="F59"/>
  <c r="F55"/>
  <c r="F64"/>
  <c r="F60"/>
  <c r="F56"/>
  <c r="F52"/>
  <c r="F48"/>
  <c r="F65"/>
  <c r="F61"/>
  <c r="F57"/>
  <c r="F53"/>
  <c r="F43" i="21"/>
  <c r="F44"/>
  <c r="J44" s="1"/>
  <c r="F52"/>
  <c r="J52" s="1"/>
  <c r="F48"/>
  <c r="F53"/>
  <c r="J53" s="1"/>
  <c r="F49"/>
  <c r="J49" s="1"/>
  <c r="F45"/>
  <c r="J45" s="1"/>
  <c r="F40"/>
  <c r="E40" s="1"/>
  <c r="F50"/>
  <c r="J50" s="1"/>
  <c r="F46"/>
  <c r="J46" s="1"/>
  <c r="F42"/>
  <c r="J42" s="1"/>
  <c r="F41"/>
  <c r="J41" s="1"/>
  <c r="F51"/>
  <c r="J51" s="1"/>
  <c r="F47"/>
  <c r="J47" s="1"/>
  <c r="J40"/>
  <c r="J48"/>
  <c r="F68"/>
  <c r="J68" s="1"/>
  <c r="F72"/>
  <c r="J72" s="1"/>
  <c r="F78"/>
  <c r="J78" s="1"/>
  <c r="F96"/>
  <c r="J96" s="1"/>
  <c r="F16"/>
  <c r="F66"/>
  <c r="J66" s="1"/>
  <c r="F70"/>
  <c r="J70" s="1"/>
  <c r="F74"/>
  <c r="J74" s="1"/>
  <c r="F76"/>
  <c r="J76" s="1"/>
  <c r="F92"/>
  <c r="F94"/>
  <c r="J94" s="1"/>
  <c r="F98"/>
  <c r="J98" s="1"/>
  <c r="F100"/>
  <c r="J100" s="1"/>
  <c r="F102"/>
  <c r="J102" s="1"/>
  <c r="F104"/>
  <c r="J104" s="1"/>
  <c r="F65"/>
  <c r="J65" s="1"/>
  <c r="F67"/>
  <c r="J67" s="1"/>
  <c r="F69"/>
  <c r="J69" s="1"/>
  <c r="F71"/>
  <c r="J71" s="1"/>
  <c r="F73"/>
  <c r="J73" s="1"/>
  <c r="F75"/>
  <c r="J75" s="1"/>
  <c r="F77"/>
  <c r="J77" s="1"/>
  <c r="F93"/>
  <c r="J93" s="1"/>
  <c r="F95"/>
  <c r="J95" s="1"/>
  <c r="F97"/>
  <c r="J97" s="1"/>
  <c r="F99"/>
  <c r="J99" s="1"/>
  <c r="F101"/>
  <c r="J101" s="1"/>
  <c r="F103"/>
  <c r="J103" s="1"/>
  <c r="F105"/>
  <c r="J105" s="1"/>
  <c r="F152" i="4"/>
  <c r="B153" s="1"/>
  <c r="D153" s="1"/>
  <c r="H152"/>
  <c r="E147"/>
  <c r="F111"/>
  <c r="B112" s="1"/>
  <c r="D102"/>
  <c r="F102"/>
  <c r="B103" s="1"/>
  <c r="F83"/>
  <c r="B84" s="1"/>
  <c r="D83"/>
  <c r="D82"/>
  <c r="H81"/>
  <c r="F31"/>
  <c r="B32" s="1"/>
  <c r="D32" s="1"/>
  <c r="E51"/>
  <c r="H31"/>
  <c r="E76"/>
  <c r="D11"/>
  <c r="F12"/>
  <c r="B13" s="1"/>
  <c r="E26"/>
  <c r="E202" i="27"/>
  <c r="G202" s="1"/>
  <c r="D203" s="1"/>
  <c r="C52" i="26"/>
  <c r="F20"/>
  <c r="E161"/>
  <c r="G161" s="1"/>
  <c r="D162" s="1"/>
  <c r="F16"/>
  <c r="F32"/>
  <c r="F35"/>
  <c r="F24"/>
  <c r="F28"/>
  <c r="F15"/>
  <c r="F19"/>
  <c r="F23"/>
  <c r="F27"/>
  <c r="F31"/>
  <c r="F38"/>
  <c r="F17"/>
  <c r="F21"/>
  <c r="F25"/>
  <c r="F29"/>
  <c r="F33"/>
  <c r="F36"/>
  <c r="F18"/>
  <c r="F22"/>
  <c r="F26"/>
  <c r="F30"/>
  <c r="F34"/>
  <c r="F37"/>
  <c r="F28" i="24"/>
  <c r="F20"/>
  <c r="F16"/>
  <c r="F32"/>
  <c r="F24"/>
  <c r="F19"/>
  <c r="F17"/>
  <c r="F21"/>
  <c r="F25"/>
  <c r="F29"/>
  <c r="F33"/>
  <c r="F15"/>
  <c r="E2" s="1"/>
  <c r="F23"/>
  <c r="F27"/>
  <c r="F31"/>
  <c r="F18"/>
  <c r="F22"/>
  <c r="F26"/>
  <c r="F30"/>
  <c r="F21" i="23"/>
  <c r="F16"/>
  <c r="F19"/>
  <c r="F17"/>
  <c r="F20"/>
  <c r="F18"/>
  <c r="C30" i="21"/>
  <c r="J27"/>
  <c r="F18"/>
  <c r="F22"/>
  <c r="F26"/>
  <c r="F28"/>
  <c r="F20"/>
  <c r="F24"/>
  <c r="F15"/>
  <c r="F17"/>
  <c r="F19"/>
  <c r="F21"/>
  <c r="F23"/>
  <c r="F25"/>
  <c r="C70" i="4"/>
  <c r="C69"/>
  <c r="C68"/>
  <c r="C67"/>
  <c r="C66"/>
  <c r="C65"/>
  <c r="C64"/>
  <c r="C63"/>
  <c r="C62"/>
  <c r="C61"/>
  <c r="C60"/>
  <c r="C59"/>
  <c r="C58"/>
  <c r="C57"/>
  <c r="C56"/>
  <c r="D56" s="1"/>
  <c r="L236" i="29" l="1"/>
  <c r="P235"/>
  <c r="L225"/>
  <c r="L213"/>
  <c r="F39" i="27"/>
  <c r="F19"/>
  <c r="E4" s="1"/>
  <c r="F20"/>
  <c r="F33"/>
  <c r="F32"/>
  <c r="F65"/>
  <c r="F23"/>
  <c r="F46"/>
  <c r="F64"/>
  <c r="F57"/>
  <c r="F43"/>
  <c r="F34"/>
  <c r="F52"/>
  <c r="F41"/>
  <c r="F27"/>
  <c r="F59"/>
  <c r="F30"/>
  <c r="F62"/>
  <c r="F48"/>
  <c r="F49"/>
  <c r="F55"/>
  <c r="F50"/>
  <c r="F36"/>
  <c r="F61"/>
  <c r="F35"/>
  <c r="F51"/>
  <c r="F26"/>
  <c r="F42"/>
  <c r="F58"/>
  <c r="F28"/>
  <c r="F44"/>
  <c r="F60"/>
  <c r="F25"/>
  <c r="F45"/>
  <c r="F53"/>
  <c r="F31"/>
  <c r="F47"/>
  <c r="F63"/>
  <c r="F22"/>
  <c r="F38"/>
  <c r="F54"/>
  <c r="F24"/>
  <c r="F40"/>
  <c r="F56"/>
  <c r="F29"/>
  <c r="F37"/>
  <c r="E5"/>
  <c r="E6"/>
  <c r="F100" i="26"/>
  <c r="F52"/>
  <c r="E2"/>
  <c r="F189" i="27"/>
  <c r="F129"/>
  <c r="F198" i="26"/>
  <c r="F148"/>
  <c r="E113" i="24"/>
  <c r="G113" s="1"/>
  <c r="D114" s="1"/>
  <c r="G40" i="21"/>
  <c r="D41" s="1"/>
  <c r="E65"/>
  <c r="G65" s="1"/>
  <c r="F252" i="27"/>
  <c r="F55" i="21"/>
  <c r="J43"/>
  <c r="J55" s="1"/>
  <c r="F107"/>
  <c r="J92"/>
  <c r="J107" s="1"/>
  <c r="J80"/>
  <c r="E92"/>
  <c r="G92" s="1"/>
  <c r="D93" s="1"/>
  <c r="F153" i="4"/>
  <c r="B154" s="1"/>
  <c r="D154" s="1"/>
  <c r="F112"/>
  <c r="B113" s="1"/>
  <c r="D112"/>
  <c r="D103"/>
  <c r="F103"/>
  <c r="B104" s="1"/>
  <c r="D84"/>
  <c r="F84"/>
  <c r="B85" s="1"/>
  <c r="F32"/>
  <c r="B33" s="1"/>
  <c r="D33" s="1"/>
  <c r="H56"/>
  <c r="D12"/>
  <c r="F13"/>
  <c r="B14" s="1"/>
  <c r="D13"/>
  <c r="E140" i="27"/>
  <c r="E80"/>
  <c r="G80" s="1"/>
  <c r="E203"/>
  <c r="E15" i="26"/>
  <c r="E162"/>
  <c r="E111"/>
  <c r="E63"/>
  <c r="E15" i="24"/>
  <c r="F36"/>
  <c r="F68"/>
  <c r="E47"/>
  <c r="F100"/>
  <c r="E79"/>
  <c r="F134"/>
  <c r="F134" i="23"/>
  <c r="F100"/>
  <c r="F68"/>
  <c r="F36"/>
  <c r="E79"/>
  <c r="G79" s="1"/>
  <c r="D80" s="1"/>
  <c r="E113"/>
  <c r="E47"/>
  <c r="E15"/>
  <c r="J25" i="21"/>
  <c r="J21"/>
  <c r="J17"/>
  <c r="J20"/>
  <c r="J24"/>
  <c r="J16"/>
  <c r="J18"/>
  <c r="J22"/>
  <c r="J26"/>
  <c r="J23"/>
  <c r="J19"/>
  <c r="F30"/>
  <c r="J15"/>
  <c r="E15"/>
  <c r="J28"/>
  <c r="F56" i="4"/>
  <c r="B57" s="1"/>
  <c r="E19" i="27" l="1"/>
  <c r="G19" s="1"/>
  <c r="D20" s="1"/>
  <c r="E20" s="1"/>
  <c r="F68"/>
  <c r="D66" i="21"/>
  <c r="E66" s="1"/>
  <c r="G66" s="1"/>
  <c r="D67" s="1"/>
  <c r="E41"/>
  <c r="F154" i="4"/>
  <c r="B155" s="1"/>
  <c r="F155" s="1"/>
  <c r="B156" s="1"/>
  <c r="D113"/>
  <c r="F113"/>
  <c r="B114" s="1"/>
  <c r="F104"/>
  <c r="B105" s="1"/>
  <c r="D104"/>
  <c r="D85"/>
  <c r="F85"/>
  <c r="B86" s="1"/>
  <c r="F33"/>
  <c r="B34" s="1"/>
  <c r="F34"/>
  <c r="B35" s="1"/>
  <c r="D34"/>
  <c r="D14"/>
  <c r="F14"/>
  <c r="B15" s="1"/>
  <c r="G203" i="27"/>
  <c r="D204" s="1"/>
  <c r="G140"/>
  <c r="D141" s="1"/>
  <c r="D81"/>
  <c r="G162" i="26"/>
  <c r="D163" s="1"/>
  <c r="G111"/>
  <c r="D112" s="1"/>
  <c r="G15"/>
  <c r="D16" s="1"/>
  <c r="G63"/>
  <c r="D64" s="1"/>
  <c r="G47" i="24"/>
  <c r="G15"/>
  <c r="D16" s="1"/>
  <c r="G79"/>
  <c r="E80" s="1"/>
  <c r="G113" i="23"/>
  <c r="D114" s="1"/>
  <c r="E114" s="1"/>
  <c r="G47"/>
  <c r="D48" s="1"/>
  <c r="G15"/>
  <c r="D16" s="1"/>
  <c r="E93" i="21"/>
  <c r="G15"/>
  <c r="J30"/>
  <c r="F57" i="4"/>
  <c r="B58" s="1"/>
  <c r="D57"/>
  <c r="D48" i="24" l="1"/>
  <c r="E48" s="1"/>
  <c r="G20" i="27"/>
  <c r="D21" s="1"/>
  <c r="E21" s="1"/>
  <c r="G41" i="21"/>
  <c r="D42" s="1"/>
  <c r="D155" i="4"/>
  <c r="D156"/>
  <c r="F156"/>
  <c r="B157" s="1"/>
  <c r="D114"/>
  <c r="F114"/>
  <c r="B115" s="1"/>
  <c r="F105"/>
  <c r="D105"/>
  <c r="F86"/>
  <c r="B87" s="1"/>
  <c r="D86"/>
  <c r="D35"/>
  <c r="F35"/>
  <c r="B36" s="1"/>
  <c r="D15"/>
  <c r="F15"/>
  <c r="B16" s="1"/>
  <c r="E114" i="24"/>
  <c r="E80" i="23"/>
  <c r="G93" i="21"/>
  <c r="D94" s="1"/>
  <c r="E67"/>
  <c r="D16"/>
  <c r="E16" s="1"/>
  <c r="G16" s="1"/>
  <c r="D17" s="1"/>
  <c r="F58" i="4"/>
  <c r="B59" s="1"/>
  <c r="D58"/>
  <c r="F157" l="1"/>
  <c r="B158" s="1"/>
  <c r="D157"/>
  <c r="F115"/>
  <c r="B116" s="1"/>
  <c r="D115"/>
  <c r="F87"/>
  <c r="B88" s="1"/>
  <c r="D87"/>
  <c r="D36"/>
  <c r="F36"/>
  <c r="B37" s="1"/>
  <c r="F16"/>
  <c r="B17" s="1"/>
  <c r="D16"/>
  <c r="E81" i="27"/>
  <c r="E141"/>
  <c r="E204"/>
  <c r="E16" i="26"/>
  <c r="E64"/>
  <c r="E112"/>
  <c r="E163"/>
  <c r="E16" i="24"/>
  <c r="G114"/>
  <c r="D115" s="1"/>
  <c r="E16" i="23"/>
  <c r="G80"/>
  <c r="D81" s="1"/>
  <c r="E48"/>
  <c r="G67" i="21"/>
  <c r="D68" s="1"/>
  <c r="F59" i="4"/>
  <c r="B60" s="1"/>
  <c r="D59"/>
  <c r="E42" i="21" l="1"/>
  <c r="F158" i="4"/>
  <c r="B159" s="1"/>
  <c r="D158"/>
  <c r="F116"/>
  <c r="B117" s="1"/>
  <c r="D116"/>
  <c r="D88"/>
  <c r="F88"/>
  <c r="B89" s="1"/>
  <c r="F37"/>
  <c r="B38" s="1"/>
  <c r="D37"/>
  <c r="F17"/>
  <c r="B18" s="1"/>
  <c r="D17"/>
  <c r="G81" i="27"/>
  <c r="D82" s="1"/>
  <c r="G204"/>
  <c r="D205" s="1"/>
  <c r="G141"/>
  <c r="D142" s="1"/>
  <c r="G112" i="26"/>
  <c r="D113" s="1"/>
  <c r="G16"/>
  <c r="D17" s="1"/>
  <c r="G163"/>
  <c r="D164" s="1"/>
  <c r="G64"/>
  <c r="D65" s="1"/>
  <c r="G48" i="24"/>
  <c r="G16"/>
  <c r="D17" s="1"/>
  <c r="G80"/>
  <c r="D81" s="1"/>
  <c r="G48" i="23"/>
  <c r="D49" s="1"/>
  <c r="G16"/>
  <c r="D17" s="1"/>
  <c r="G114"/>
  <c r="D115" s="1"/>
  <c r="E115" s="1"/>
  <c r="E94" i="21"/>
  <c r="F60" i="4"/>
  <c r="B61" s="1"/>
  <c r="D60"/>
  <c r="D49" i="24" l="1"/>
  <c r="E49" s="1"/>
  <c r="G21" i="27"/>
  <c r="D22" s="1"/>
  <c r="E22" s="1"/>
  <c r="E81" i="24"/>
  <c r="G42" i="21"/>
  <c r="D43" s="1"/>
  <c r="D159" i="4"/>
  <c r="F159"/>
  <c r="B160" s="1"/>
  <c r="D117"/>
  <c r="F117"/>
  <c r="B118" s="1"/>
  <c r="D89"/>
  <c r="F89"/>
  <c r="B90" s="1"/>
  <c r="F38"/>
  <c r="B39" s="1"/>
  <c r="D38"/>
  <c r="F18"/>
  <c r="B19" s="1"/>
  <c r="D18"/>
  <c r="E115" i="24"/>
  <c r="E81" i="23"/>
  <c r="G94" i="21"/>
  <c r="D95" s="1"/>
  <c r="E68"/>
  <c r="D61" i="4"/>
  <c r="F61"/>
  <c r="B62" s="1"/>
  <c r="D160" l="1"/>
  <c r="F160"/>
  <c r="B161" s="1"/>
  <c r="D118"/>
  <c r="F118"/>
  <c r="B119" s="1"/>
  <c r="D90"/>
  <c r="F90"/>
  <c r="B91" s="1"/>
  <c r="D39"/>
  <c r="F39"/>
  <c r="B40" s="1"/>
  <c r="D19"/>
  <c r="F19"/>
  <c r="B20" s="1"/>
  <c r="E142" i="27"/>
  <c r="E205"/>
  <c r="E82"/>
  <c r="E65" i="26"/>
  <c r="E164"/>
  <c r="E17"/>
  <c r="E113"/>
  <c r="G115" i="24"/>
  <c r="D116" s="1"/>
  <c r="E17"/>
  <c r="G81" i="23"/>
  <c r="D82" s="1"/>
  <c r="E17"/>
  <c r="E49"/>
  <c r="G68" i="21"/>
  <c r="D69" s="1"/>
  <c r="E17"/>
  <c r="F62" i="4"/>
  <c r="B63" s="1"/>
  <c r="D62"/>
  <c r="G22" i="27" l="1"/>
  <c r="D23" s="1"/>
  <c r="E23" s="1"/>
  <c r="E43" i="21"/>
  <c r="F161" i="4"/>
  <c r="B162" s="1"/>
  <c r="D161"/>
  <c r="F119"/>
  <c r="B120" s="1"/>
  <c r="D119"/>
  <c r="F91"/>
  <c r="B92" s="1"/>
  <c r="D91"/>
  <c r="D40"/>
  <c r="F40"/>
  <c r="B41" s="1"/>
  <c r="D20"/>
  <c r="F20"/>
  <c r="B21" s="1"/>
  <c r="G205" i="27"/>
  <c r="D206" s="1"/>
  <c r="G142"/>
  <c r="D143" s="1"/>
  <c r="G82"/>
  <c r="D83" s="1"/>
  <c r="G113" i="26"/>
  <c r="D114" s="1"/>
  <c r="G164"/>
  <c r="D165" s="1"/>
  <c r="G17"/>
  <c r="D18" s="1"/>
  <c r="G65"/>
  <c r="D66" s="1"/>
  <c r="G49" i="24"/>
  <c r="G81"/>
  <c r="D82" s="1"/>
  <c r="G17"/>
  <c r="D18" s="1"/>
  <c r="G17" i="23"/>
  <c r="D18" s="1"/>
  <c r="G49"/>
  <c r="D50" s="1"/>
  <c r="G115"/>
  <c r="D116" s="1"/>
  <c r="E116" s="1"/>
  <c r="E95" i="21"/>
  <c r="G17"/>
  <c r="F63" i="4"/>
  <c r="B64" s="1"/>
  <c r="D63"/>
  <c r="D50" i="24" l="1"/>
  <c r="E50" s="1"/>
  <c r="E82"/>
  <c r="G43" i="21"/>
  <c r="F162" i="4"/>
  <c r="B163" s="1"/>
  <c r="D162"/>
  <c r="F120"/>
  <c r="B121" s="1"/>
  <c r="D120"/>
  <c r="F92"/>
  <c r="B93" s="1"/>
  <c r="D92"/>
  <c r="F41"/>
  <c r="B42" s="1"/>
  <c r="D41"/>
  <c r="F21"/>
  <c r="B22" s="1"/>
  <c r="D21"/>
  <c r="E165" i="26"/>
  <c r="G165" s="1"/>
  <c r="D166" s="1"/>
  <c r="E116" i="24"/>
  <c r="E82" i="23"/>
  <c r="G95" i="21"/>
  <c r="D96" s="1"/>
  <c r="E69"/>
  <c r="D18"/>
  <c r="F64" i="4"/>
  <c r="B65" s="1"/>
  <c r="D64"/>
  <c r="G23" i="27" l="1"/>
  <c r="D24" s="1"/>
  <c r="E24" s="1"/>
  <c r="D44" i="21"/>
  <c r="E44" s="1"/>
  <c r="G44" s="1"/>
  <c r="D163" i="4"/>
  <c r="F163"/>
  <c r="B164" s="1"/>
  <c r="D121"/>
  <c r="F121"/>
  <c r="B122" s="1"/>
  <c r="D93"/>
  <c r="F93"/>
  <c r="B94" s="1"/>
  <c r="F42"/>
  <c r="B43" s="1"/>
  <c r="D42"/>
  <c r="F22"/>
  <c r="B23" s="1"/>
  <c r="D22"/>
  <c r="E83" i="27"/>
  <c r="E143"/>
  <c r="E206"/>
  <c r="G206" s="1"/>
  <c r="D207" s="1"/>
  <c r="E114" i="26"/>
  <c r="E66"/>
  <c r="E166"/>
  <c r="G166" s="1"/>
  <c r="D167" s="1"/>
  <c r="E18"/>
  <c r="E18" i="24"/>
  <c r="G116"/>
  <c r="D117" s="1"/>
  <c r="G82" i="23"/>
  <c r="D83" s="1"/>
  <c r="E50"/>
  <c r="E18"/>
  <c r="G69" i="21"/>
  <c r="D70" s="1"/>
  <c r="E18"/>
  <c r="F65" i="4"/>
  <c r="B66" s="1"/>
  <c r="D65"/>
  <c r="D45" i="21" l="1"/>
  <c r="E45" s="1"/>
  <c r="G45" s="1"/>
  <c r="D164" i="4"/>
  <c r="F164"/>
  <c r="B165" s="1"/>
  <c r="D122"/>
  <c r="F122"/>
  <c r="B123" s="1"/>
  <c r="F94"/>
  <c r="B95" s="1"/>
  <c r="D94"/>
  <c r="D43"/>
  <c r="F43"/>
  <c r="B44" s="1"/>
  <c r="D23"/>
  <c r="F23"/>
  <c r="B24" s="1"/>
  <c r="G143" i="27"/>
  <c r="D144" s="1"/>
  <c r="E207"/>
  <c r="G207" s="1"/>
  <c r="D208" s="1"/>
  <c r="G83"/>
  <c r="D84" s="1"/>
  <c r="E167" i="26"/>
  <c r="G167" s="1"/>
  <c r="D168" s="1"/>
  <c r="G66"/>
  <c r="D67" s="1"/>
  <c r="G114"/>
  <c r="D115" s="1"/>
  <c r="G18"/>
  <c r="D19" s="1"/>
  <c r="G18" i="24"/>
  <c r="D19" s="1"/>
  <c r="E117"/>
  <c r="G117" s="1"/>
  <c r="D118" s="1"/>
  <c r="G82"/>
  <c r="D83" s="1"/>
  <c r="G50"/>
  <c r="G116" i="23"/>
  <c r="D117" s="1"/>
  <c r="E117" s="1"/>
  <c r="E83"/>
  <c r="G83" s="1"/>
  <c r="D84" s="1"/>
  <c r="G18"/>
  <c r="D19" s="1"/>
  <c r="G50"/>
  <c r="D51" s="1"/>
  <c r="E96" i="21"/>
  <c r="E70"/>
  <c r="G70" s="1"/>
  <c r="D71" s="1"/>
  <c r="G18"/>
  <c r="F66" i="4"/>
  <c r="B67" s="1"/>
  <c r="D66"/>
  <c r="D51" i="24" l="1"/>
  <c r="E51" s="1"/>
  <c r="G51" s="1"/>
  <c r="G24" i="27"/>
  <c r="E83" i="24"/>
  <c r="G83" s="1"/>
  <c r="D84" s="1"/>
  <c r="D46" i="21"/>
  <c r="E46" s="1"/>
  <c r="G46" s="1"/>
  <c r="F165" i="4"/>
  <c r="B166" s="1"/>
  <c r="D165"/>
  <c r="F123"/>
  <c r="B124" s="1"/>
  <c r="D123"/>
  <c r="F95"/>
  <c r="B96" s="1"/>
  <c r="D95"/>
  <c r="D44"/>
  <c r="F44"/>
  <c r="B45" s="1"/>
  <c r="D24"/>
  <c r="F24"/>
  <c r="B25" s="1"/>
  <c r="E208" i="27"/>
  <c r="G208" s="1"/>
  <c r="D209" s="1"/>
  <c r="E144"/>
  <c r="G144" s="1"/>
  <c r="D145" s="1"/>
  <c r="G84"/>
  <c r="D85" s="1"/>
  <c r="E84"/>
  <c r="E115" i="26"/>
  <c r="G115" s="1"/>
  <c r="D116" s="1"/>
  <c r="E19"/>
  <c r="E67"/>
  <c r="G67" s="1"/>
  <c r="D68" s="1"/>
  <c r="E118" i="24"/>
  <c r="G118" s="1"/>
  <c r="D119" s="1"/>
  <c r="E19"/>
  <c r="G19" s="1"/>
  <c r="D20" s="1"/>
  <c r="E19" i="23"/>
  <c r="G117"/>
  <c r="D118" s="1"/>
  <c r="E118" s="1"/>
  <c r="E84"/>
  <c r="G84" s="1"/>
  <c r="D85" s="1"/>
  <c r="G96" i="21"/>
  <c r="D97" s="1"/>
  <c r="E71"/>
  <c r="G71" s="1"/>
  <c r="D72" s="1"/>
  <c r="D19"/>
  <c r="E19" s="1"/>
  <c r="F67" i="4"/>
  <c r="B68" s="1"/>
  <c r="D67"/>
  <c r="D25" i="27" l="1"/>
  <c r="E25" s="1"/>
  <c r="G25" s="1"/>
  <c r="D52" i="24"/>
  <c r="E52" s="1"/>
  <c r="G52" s="1"/>
  <c r="E168" i="26"/>
  <c r="G168" s="1"/>
  <c r="D169" s="1"/>
  <c r="E84" i="24"/>
  <c r="G84" s="1"/>
  <c r="D85" s="1"/>
  <c r="D47" i="21"/>
  <c r="E47" s="1"/>
  <c r="G47" s="1"/>
  <c r="D48" s="1"/>
  <c r="E48" s="1"/>
  <c r="G48" s="1"/>
  <c r="D49" s="1"/>
  <c r="E49" s="1"/>
  <c r="G49" s="1"/>
  <c r="D50" s="1"/>
  <c r="E50" s="1"/>
  <c r="G50" s="1"/>
  <c r="D51" s="1"/>
  <c r="F166" i="4"/>
  <c r="B167" s="1"/>
  <c r="D166"/>
  <c r="F124"/>
  <c r="B125" s="1"/>
  <c r="D124"/>
  <c r="F96"/>
  <c r="B97" s="1"/>
  <c r="D96"/>
  <c r="F45"/>
  <c r="B46" s="1"/>
  <c r="D45"/>
  <c r="F25"/>
  <c r="D25"/>
  <c r="D26" s="1"/>
  <c r="B5" s="1"/>
  <c r="E209" i="27"/>
  <c r="G209" s="1"/>
  <c r="D210" s="1"/>
  <c r="E85"/>
  <c r="G85" s="1"/>
  <c r="D86" s="1"/>
  <c r="E145"/>
  <c r="G145" s="1"/>
  <c r="D146" s="1"/>
  <c r="E68" i="26"/>
  <c r="G68" s="1"/>
  <c r="D69" s="1"/>
  <c r="G19"/>
  <c r="D20" s="1"/>
  <c r="E116"/>
  <c r="G116" s="1"/>
  <c r="D117" s="1"/>
  <c r="E20" i="24"/>
  <c r="G20" s="1"/>
  <c r="D21" s="1"/>
  <c r="E119"/>
  <c r="G119" s="1"/>
  <c r="D120" s="1"/>
  <c r="E51" i="23"/>
  <c r="E85"/>
  <c r="G85" s="1"/>
  <c r="D86" s="1"/>
  <c r="G118"/>
  <c r="D119" s="1"/>
  <c r="E119" s="1"/>
  <c r="G19"/>
  <c r="D20" s="1"/>
  <c r="G97" i="21"/>
  <c r="D98" s="1"/>
  <c r="E97"/>
  <c r="E72"/>
  <c r="G72" s="1"/>
  <c r="D73" s="1"/>
  <c r="G19"/>
  <c r="F68" i="4"/>
  <c r="B69" s="1"/>
  <c r="D68"/>
  <c r="D26" i="27" l="1"/>
  <c r="E26" s="1"/>
  <c r="G26" s="1"/>
  <c r="D53" i="24"/>
  <c r="E53" s="1"/>
  <c r="G53" s="1"/>
  <c r="E169" i="26"/>
  <c r="G169" s="1"/>
  <c r="D170" s="1"/>
  <c r="E85" i="24"/>
  <c r="G85" s="1"/>
  <c r="D86" s="1"/>
  <c r="D167" i="4"/>
  <c r="F167"/>
  <c r="B168" s="1"/>
  <c r="D125"/>
  <c r="F125"/>
  <c r="B126" s="1"/>
  <c r="D97"/>
  <c r="F97"/>
  <c r="B98" s="1"/>
  <c r="F46"/>
  <c r="B47" s="1"/>
  <c r="D46"/>
  <c r="E210" i="27"/>
  <c r="G210" s="1"/>
  <c r="D211" s="1"/>
  <c r="E146"/>
  <c r="G146" s="1"/>
  <c r="D147" s="1"/>
  <c r="E86"/>
  <c r="G86" s="1"/>
  <c r="D87" s="1"/>
  <c r="E117" i="26"/>
  <c r="G117" s="1"/>
  <c r="D118" s="1"/>
  <c r="E69"/>
  <c r="G69" s="1"/>
  <c r="D70" s="1"/>
  <c r="E20"/>
  <c r="G20" s="1"/>
  <c r="D21" s="1"/>
  <c r="E120" i="24"/>
  <c r="G120" s="1"/>
  <c r="D121" s="1"/>
  <c r="E21"/>
  <c r="G21" s="1"/>
  <c r="D22" s="1"/>
  <c r="G51" i="23"/>
  <c r="D52" s="1"/>
  <c r="G119"/>
  <c r="D120" s="1"/>
  <c r="E120" s="1"/>
  <c r="E86"/>
  <c r="E20"/>
  <c r="G20" s="1"/>
  <c r="D21" s="1"/>
  <c r="E98" i="21"/>
  <c r="G98" s="1"/>
  <c r="D99" s="1"/>
  <c r="E73"/>
  <c r="G73" s="1"/>
  <c r="D74" s="1"/>
  <c r="E51"/>
  <c r="G51" s="1"/>
  <c r="D52" s="1"/>
  <c r="D20"/>
  <c r="E20" s="1"/>
  <c r="G20" s="1"/>
  <c r="F69" i="4"/>
  <c r="B70" s="1"/>
  <c r="D69"/>
  <c r="D27" i="27" l="1"/>
  <c r="E27" s="1"/>
  <c r="G27" s="1"/>
  <c r="D54" i="24"/>
  <c r="E54" s="1"/>
  <c r="G54" s="1"/>
  <c r="E170" i="26"/>
  <c r="G170" s="1"/>
  <c r="E86" i="24"/>
  <c r="G86" s="1"/>
  <c r="D87" s="1"/>
  <c r="D168" i="4"/>
  <c r="F168"/>
  <c r="B169" s="1"/>
  <c r="D126"/>
  <c r="F126"/>
  <c r="B127" s="1"/>
  <c r="F98"/>
  <c r="B99" s="1"/>
  <c r="D98"/>
  <c r="D47"/>
  <c r="F47"/>
  <c r="B48" s="1"/>
  <c r="E87" i="27"/>
  <c r="G87" s="1"/>
  <c r="D88" s="1"/>
  <c r="E211"/>
  <c r="G211" s="1"/>
  <c r="D212" s="1"/>
  <c r="E147"/>
  <c r="G147" s="1"/>
  <c r="D148" s="1"/>
  <c r="E21" i="26"/>
  <c r="G21" s="1"/>
  <c r="D22" s="1"/>
  <c r="E70"/>
  <c r="G70" s="1"/>
  <c r="D71" s="1"/>
  <c r="E118"/>
  <c r="G118" s="1"/>
  <c r="D119" s="1"/>
  <c r="E22" i="24"/>
  <c r="G22" s="1"/>
  <c r="D23" s="1"/>
  <c r="E121"/>
  <c r="G121" s="1"/>
  <c r="D122" s="1"/>
  <c r="E52" i="23"/>
  <c r="G86"/>
  <c r="D87" s="1"/>
  <c r="G120"/>
  <c r="D121" s="1"/>
  <c r="E121" s="1"/>
  <c r="E21"/>
  <c r="G21" s="1"/>
  <c r="D22" s="1"/>
  <c r="E99" i="21"/>
  <c r="G99" s="1"/>
  <c r="D100" s="1"/>
  <c r="E74"/>
  <c r="G74" s="1"/>
  <c r="D75" s="1"/>
  <c r="E52"/>
  <c r="G52" s="1"/>
  <c r="D53" s="1"/>
  <c r="D21"/>
  <c r="E21" s="1"/>
  <c r="G21" s="1"/>
  <c r="D70" i="4"/>
  <c r="D28" i="27" l="1"/>
  <c r="E28" s="1"/>
  <c r="G28" s="1"/>
  <c r="D171" i="26"/>
  <c r="E171" s="1"/>
  <c r="G171" s="1"/>
  <c r="D172" s="1"/>
  <c r="E172" s="1"/>
  <c r="G172" s="1"/>
  <c r="D173" s="1"/>
  <c r="D55" i="24"/>
  <c r="E55" s="1"/>
  <c r="G55" s="1"/>
  <c r="E87"/>
  <c r="G87" s="1"/>
  <c r="D88" s="1"/>
  <c r="F169" i="4"/>
  <c r="B170" s="1"/>
  <c r="D169"/>
  <c r="F127"/>
  <c r="B128" s="1"/>
  <c r="D127"/>
  <c r="F99"/>
  <c r="B100" s="1"/>
  <c r="D99"/>
  <c r="D48"/>
  <c r="F48"/>
  <c r="B49" s="1"/>
  <c r="E212" i="27"/>
  <c r="G212" s="1"/>
  <c r="D213" s="1"/>
  <c r="E148"/>
  <c r="G148" s="1"/>
  <c r="D149" s="1"/>
  <c r="E88"/>
  <c r="G88" s="1"/>
  <c r="D89" s="1"/>
  <c r="E22" i="26"/>
  <c r="G22" s="1"/>
  <c r="D23" s="1"/>
  <c r="E119"/>
  <c r="G119" s="1"/>
  <c r="D120" s="1"/>
  <c r="E71"/>
  <c r="G71" s="1"/>
  <c r="D72" s="1"/>
  <c r="E122" i="24"/>
  <c r="G122" s="1"/>
  <c r="D123" s="1"/>
  <c r="E23"/>
  <c r="G23" s="1"/>
  <c r="D24" s="1"/>
  <c r="G52" i="23"/>
  <c r="D53" s="1"/>
  <c r="E87"/>
  <c r="E22"/>
  <c r="G22" s="1"/>
  <c r="D23" s="1"/>
  <c r="E100" i="21"/>
  <c r="G100" s="1"/>
  <c r="D101" s="1"/>
  <c r="E75"/>
  <c r="G75" s="1"/>
  <c r="D76" s="1"/>
  <c r="E53"/>
  <c r="G53" s="1"/>
  <c r="D54" s="1"/>
  <c r="D22"/>
  <c r="E22" s="1"/>
  <c r="G22" s="1"/>
  <c r="F70" i="4"/>
  <c r="B71" s="1"/>
  <c r="D29" i="27" l="1"/>
  <c r="E29" s="1"/>
  <c r="G29" s="1"/>
  <c r="D56" i="24"/>
  <c r="E56" s="1"/>
  <c r="G56" s="1"/>
  <c r="E88"/>
  <c r="G88" s="1"/>
  <c r="D89" s="1"/>
  <c r="F170" i="4"/>
  <c r="B171" s="1"/>
  <c r="D170"/>
  <c r="F128"/>
  <c r="B129" s="1"/>
  <c r="D128"/>
  <c r="D100"/>
  <c r="F100"/>
  <c r="F49"/>
  <c r="B50" s="1"/>
  <c r="D49"/>
  <c r="D71"/>
  <c r="F71"/>
  <c r="B72" s="1"/>
  <c r="E89" i="27"/>
  <c r="G89" s="1"/>
  <c r="D90" s="1"/>
  <c r="E213"/>
  <c r="G213" s="1"/>
  <c r="D214" s="1"/>
  <c r="E149"/>
  <c r="G149" s="1"/>
  <c r="D150" s="1"/>
  <c r="E120" i="26"/>
  <c r="G120" s="1"/>
  <c r="D121" s="1"/>
  <c r="E173"/>
  <c r="G173" s="1"/>
  <c r="D174" s="1"/>
  <c r="E72"/>
  <c r="G72" s="1"/>
  <c r="D73" s="1"/>
  <c r="E23"/>
  <c r="G23" s="1"/>
  <c r="D24" s="1"/>
  <c r="E123" i="24"/>
  <c r="G123" s="1"/>
  <c r="D124" s="1"/>
  <c r="E24"/>
  <c r="G24" s="1"/>
  <c r="D25" s="1"/>
  <c r="G87" i="23"/>
  <c r="D88" s="1"/>
  <c r="E23"/>
  <c r="G23" s="1"/>
  <c r="D24" s="1"/>
  <c r="E101" i="21"/>
  <c r="G101" s="1"/>
  <c r="D102" s="1"/>
  <c r="E76"/>
  <c r="G76" s="1"/>
  <c r="D77" s="1"/>
  <c r="D55"/>
  <c r="D4" s="1"/>
  <c r="D23"/>
  <c r="E23" s="1"/>
  <c r="G23" s="1"/>
  <c r="D30" i="27" l="1"/>
  <c r="E30" s="1"/>
  <c r="G30" s="1"/>
  <c r="D57" i="24"/>
  <c r="E57" s="1"/>
  <c r="G57" s="1"/>
  <c r="E89"/>
  <c r="G89" s="1"/>
  <c r="D90" s="1"/>
  <c r="D171" i="4"/>
  <c r="F171"/>
  <c r="B172" s="1"/>
  <c r="D129"/>
  <c r="F129"/>
  <c r="B130" s="1"/>
  <c r="F50"/>
  <c r="D50"/>
  <c r="D51" s="1"/>
  <c r="C5" s="1"/>
  <c r="D72"/>
  <c r="F72"/>
  <c r="B73" s="1"/>
  <c r="E214" i="27"/>
  <c r="G214" s="1"/>
  <c r="D215" s="1"/>
  <c r="E150"/>
  <c r="G150" s="1"/>
  <c r="D151" s="1"/>
  <c r="E90"/>
  <c r="G90" s="1"/>
  <c r="D91" s="1"/>
  <c r="E24" i="26"/>
  <c r="G24" s="1"/>
  <c r="D25" s="1"/>
  <c r="E174"/>
  <c r="G174" s="1"/>
  <c r="D175" s="1"/>
  <c r="E73"/>
  <c r="G73" s="1"/>
  <c r="D74" s="1"/>
  <c r="E121"/>
  <c r="G121" s="1"/>
  <c r="D122" s="1"/>
  <c r="E25" i="24"/>
  <c r="G25" s="1"/>
  <c r="D26" s="1"/>
  <c r="E124"/>
  <c r="G124" s="1"/>
  <c r="D125" s="1"/>
  <c r="G121" i="23"/>
  <c r="D122" s="1"/>
  <c r="E122" s="1"/>
  <c r="E88"/>
  <c r="E53"/>
  <c r="E24"/>
  <c r="G24" s="1"/>
  <c r="D25" s="1"/>
  <c r="E102" i="21"/>
  <c r="G102" s="1"/>
  <c r="D103" s="1"/>
  <c r="E77"/>
  <c r="G77" s="1"/>
  <c r="D78" s="1"/>
  <c r="E54"/>
  <c r="E55" s="1"/>
  <c r="D24"/>
  <c r="E24" s="1"/>
  <c r="G24" s="1"/>
  <c r="D31" i="27" l="1"/>
  <c r="E31" s="1"/>
  <c r="G31" s="1"/>
  <c r="D32" s="1"/>
  <c r="D58" i="24"/>
  <c r="E58" s="1"/>
  <c r="G58" s="1"/>
  <c r="E90"/>
  <c r="G90" s="1"/>
  <c r="D91" s="1"/>
  <c r="D172" i="4"/>
  <c r="F172"/>
  <c r="B173" s="1"/>
  <c r="D130"/>
  <c r="F130"/>
  <c r="B131" s="1"/>
  <c r="F73"/>
  <c r="B74" s="1"/>
  <c r="D73"/>
  <c r="E151" i="27"/>
  <c r="G151" s="1"/>
  <c r="D152" s="1"/>
  <c r="E91"/>
  <c r="G91" s="1"/>
  <c r="D92" s="1"/>
  <c r="E215"/>
  <c r="G215" s="1"/>
  <c r="D216" s="1"/>
  <c r="E25" i="26"/>
  <c r="G25" s="1"/>
  <c r="D26" s="1"/>
  <c r="E74"/>
  <c r="G74" s="1"/>
  <c r="D75" s="1"/>
  <c r="E122"/>
  <c r="G122" s="1"/>
  <c r="D123" s="1"/>
  <c r="E175"/>
  <c r="G175" s="1"/>
  <c r="D176" s="1"/>
  <c r="E26" i="24"/>
  <c r="G26" s="1"/>
  <c r="D27" s="1"/>
  <c r="E125"/>
  <c r="G125" s="1"/>
  <c r="D126" s="1"/>
  <c r="G53" i="23"/>
  <c r="D54" s="1"/>
  <c r="G88"/>
  <c r="D89" s="1"/>
  <c r="E25"/>
  <c r="G25" s="1"/>
  <c r="D26" s="1"/>
  <c r="E103" i="21"/>
  <c r="G103" s="1"/>
  <c r="D104" s="1"/>
  <c r="E78"/>
  <c r="G78" s="1"/>
  <c r="D79" s="1"/>
  <c r="G54"/>
  <c r="H54" s="1"/>
  <c r="D25"/>
  <c r="E25" s="1"/>
  <c r="G25" s="1"/>
  <c r="E32" i="27" l="1"/>
  <c r="G32" s="1"/>
  <c r="D33" s="1"/>
  <c r="D59" i="24"/>
  <c r="E59" s="1"/>
  <c r="G59" s="1"/>
  <c r="E91"/>
  <c r="G91" s="1"/>
  <c r="D92" s="1"/>
  <c r="F173" i="4"/>
  <c r="B174" s="1"/>
  <c r="D173"/>
  <c r="F131"/>
  <c r="B132" s="1"/>
  <c r="D131"/>
  <c r="D74"/>
  <c r="F74"/>
  <c r="B75" s="1"/>
  <c r="E92" i="27"/>
  <c r="G92" s="1"/>
  <c r="D93" s="1"/>
  <c r="E216"/>
  <c r="G216" s="1"/>
  <c r="D217" s="1"/>
  <c r="E152"/>
  <c r="G152" s="1"/>
  <c r="D153" s="1"/>
  <c r="E176" i="26"/>
  <c r="G176" s="1"/>
  <c r="D177" s="1"/>
  <c r="E75"/>
  <c r="G75" s="1"/>
  <c r="D76" s="1"/>
  <c r="E123"/>
  <c r="E26"/>
  <c r="G26" s="1"/>
  <c r="D27" s="1"/>
  <c r="E126" i="24"/>
  <c r="G126" s="1"/>
  <c r="D127" s="1"/>
  <c r="E27"/>
  <c r="G27" s="1"/>
  <c r="D28" s="1"/>
  <c r="E54" i="23"/>
  <c r="G122"/>
  <c r="D123" s="1"/>
  <c r="E123" s="1"/>
  <c r="E26"/>
  <c r="G26" s="1"/>
  <c r="D27" s="1"/>
  <c r="E104" i="21"/>
  <c r="G104" s="1"/>
  <c r="D105" s="1"/>
  <c r="D26"/>
  <c r="E26" s="1"/>
  <c r="G26" s="1"/>
  <c r="E33" i="27" l="1"/>
  <c r="G33" s="1"/>
  <c r="D34" s="1"/>
  <c r="D60" i="24"/>
  <c r="E60" s="1"/>
  <c r="G60" s="1"/>
  <c r="G123" i="26"/>
  <c r="D124" s="1"/>
  <c r="E92" i="24"/>
  <c r="G92" s="1"/>
  <c r="D93" s="1"/>
  <c r="F174" i="4"/>
  <c r="B175" s="1"/>
  <c r="D174"/>
  <c r="F132"/>
  <c r="B133" s="1"/>
  <c r="D132"/>
  <c r="D75"/>
  <c r="D76" s="1"/>
  <c r="F75"/>
  <c r="E153" i="27"/>
  <c r="G153" s="1"/>
  <c r="D154" s="1"/>
  <c r="E93"/>
  <c r="G93" s="1"/>
  <c r="D94" s="1"/>
  <c r="E217"/>
  <c r="G217" s="1"/>
  <c r="D218" s="1"/>
  <c r="E27" i="26"/>
  <c r="G27" s="1"/>
  <c r="D28" s="1"/>
  <c r="E76"/>
  <c r="G76" s="1"/>
  <c r="D77" s="1"/>
  <c r="E177"/>
  <c r="G177" s="1"/>
  <c r="D178" s="1"/>
  <c r="E127" i="24"/>
  <c r="G127" s="1"/>
  <c r="D128" s="1"/>
  <c r="E28"/>
  <c r="G28" s="1"/>
  <c r="D29" s="1"/>
  <c r="E89" i="23"/>
  <c r="G54"/>
  <c r="D55" s="1"/>
  <c r="G123"/>
  <c r="D124" s="1"/>
  <c r="E124" s="1"/>
  <c r="E27"/>
  <c r="G27" s="1"/>
  <c r="D28" s="1"/>
  <c r="E105" i="21"/>
  <c r="G105" s="1"/>
  <c r="D106" s="1"/>
  <c r="E79"/>
  <c r="D80"/>
  <c r="D27"/>
  <c r="E27" s="1"/>
  <c r="G27" s="1"/>
  <c r="E34" i="27" l="1"/>
  <c r="G34" s="1"/>
  <c r="D35" s="1"/>
  <c r="D61" i="24"/>
  <c r="E61" s="1"/>
  <c r="G61" s="1"/>
  <c r="E124" i="26"/>
  <c r="E93" i="24"/>
  <c r="G93" s="1"/>
  <c r="D94" s="1"/>
  <c r="D175" i="4"/>
  <c r="F175"/>
  <c r="B176" s="1"/>
  <c r="D133"/>
  <c r="F133"/>
  <c r="B134" s="1"/>
  <c r="D5"/>
  <c r="E94" i="27"/>
  <c r="G94" s="1"/>
  <c r="D95" s="1"/>
  <c r="E218"/>
  <c r="G218" s="1"/>
  <c r="D219" s="1"/>
  <c r="E154"/>
  <c r="G154" s="1"/>
  <c r="D155" s="1"/>
  <c r="E178" i="26"/>
  <c r="G178" s="1"/>
  <c r="D179" s="1"/>
  <c r="E77"/>
  <c r="G77" s="1"/>
  <c r="D78" s="1"/>
  <c r="E29" i="24"/>
  <c r="G29" s="1"/>
  <c r="D30" s="1"/>
  <c r="E128"/>
  <c r="G128" s="1"/>
  <c r="D129" s="1"/>
  <c r="G124" i="23"/>
  <c r="G89"/>
  <c r="D90" s="1"/>
  <c r="E55"/>
  <c r="E28"/>
  <c r="G28" s="1"/>
  <c r="D29" s="1"/>
  <c r="E80" i="21"/>
  <c r="G79"/>
  <c r="H79" s="1"/>
  <c r="D28"/>
  <c r="E28" s="1"/>
  <c r="G28" s="1"/>
  <c r="E35" i="27" l="1"/>
  <c r="G35" s="1"/>
  <c r="D36" s="1"/>
  <c r="D62" i="24"/>
  <c r="E62" s="1"/>
  <c r="G62" s="1"/>
  <c r="G124" i="26"/>
  <c r="D125" s="1"/>
  <c r="E28"/>
  <c r="D125" i="23"/>
  <c r="E125" s="1"/>
  <c r="G125" s="1"/>
  <c r="D126" s="1"/>
  <c r="E126" s="1"/>
  <c r="E90"/>
  <c r="G90" s="1"/>
  <c r="E94" i="24"/>
  <c r="G94" s="1"/>
  <c r="D95" s="1"/>
  <c r="D176" i="4"/>
  <c r="F176"/>
  <c r="B177" s="1"/>
  <c r="D134"/>
  <c r="F134"/>
  <c r="B135" s="1"/>
  <c r="E219" i="27"/>
  <c r="G219" s="1"/>
  <c r="D220" s="1"/>
  <c r="E155"/>
  <c r="G155" s="1"/>
  <c r="D156" s="1"/>
  <c r="E95"/>
  <c r="G95" s="1"/>
  <c r="D96" s="1"/>
  <c r="E179" i="26"/>
  <c r="G179" s="1"/>
  <c r="D180" s="1"/>
  <c r="E78"/>
  <c r="G78" s="1"/>
  <c r="D79" s="1"/>
  <c r="E129" i="24"/>
  <c r="G129" s="1"/>
  <c r="D130" s="1"/>
  <c r="E30"/>
  <c r="G30" s="1"/>
  <c r="D31" s="1"/>
  <c r="G55" i="23"/>
  <c r="D56" s="1"/>
  <c r="E106" i="21"/>
  <c r="D107"/>
  <c r="D29"/>
  <c r="E36" i="27" l="1"/>
  <c r="G36" s="1"/>
  <c r="D37" s="1"/>
  <c r="D91" i="23"/>
  <c r="E91" s="1"/>
  <c r="G91" s="1"/>
  <c r="D92" s="1"/>
  <c r="D63" i="24"/>
  <c r="E63" s="1"/>
  <c r="G63" s="1"/>
  <c r="G28" i="26"/>
  <c r="D29" s="1"/>
  <c r="G126" i="23"/>
  <c r="D127" s="1"/>
  <c r="E127" s="1"/>
  <c r="E56"/>
  <c r="G56" s="1"/>
  <c r="E95" i="24"/>
  <c r="G95" s="1"/>
  <c r="D96" s="1"/>
  <c r="F177" i="4"/>
  <c r="B178" s="1"/>
  <c r="D177"/>
  <c r="F135"/>
  <c r="B136" s="1"/>
  <c r="D135"/>
  <c r="E156" i="27"/>
  <c r="G156" s="1"/>
  <c r="D157" s="1"/>
  <c r="E96"/>
  <c r="G96" s="1"/>
  <c r="D97" s="1"/>
  <c r="E220"/>
  <c r="G220" s="1"/>
  <c r="D221" s="1"/>
  <c r="E180" i="26"/>
  <c r="G180" s="1"/>
  <c r="D181" s="1"/>
  <c r="E31" i="24"/>
  <c r="G31" s="1"/>
  <c r="D32" s="1"/>
  <c r="E130"/>
  <c r="G130" s="1"/>
  <c r="D131" s="1"/>
  <c r="E29" i="23"/>
  <c r="E107" i="21"/>
  <c r="G106"/>
  <c r="H106" s="1"/>
  <c r="E29"/>
  <c r="D30"/>
  <c r="E37" i="27" l="1"/>
  <c r="G37" s="1"/>
  <c r="D38" s="1"/>
  <c r="G127" i="23"/>
  <c r="D128" s="1"/>
  <c r="E128" s="1"/>
  <c r="D57"/>
  <c r="E57" s="1"/>
  <c r="G57" s="1"/>
  <c r="D58" s="1"/>
  <c r="D64" i="24"/>
  <c r="E64" s="1"/>
  <c r="G64" s="1"/>
  <c r="E125" i="26"/>
  <c r="E79"/>
  <c r="E29"/>
  <c r="E92" i="23"/>
  <c r="G92" s="1"/>
  <c r="E96" i="24"/>
  <c r="G96" s="1"/>
  <c r="D97" s="1"/>
  <c r="F178" i="4"/>
  <c r="B179" s="1"/>
  <c r="D178"/>
  <c r="D136"/>
  <c r="F136"/>
  <c r="B137" s="1"/>
  <c r="E97" i="27"/>
  <c r="G97" s="1"/>
  <c r="D98" s="1"/>
  <c r="E221"/>
  <c r="G221" s="1"/>
  <c r="D222" s="1"/>
  <c r="E157"/>
  <c r="G157" s="1"/>
  <c r="D158" s="1"/>
  <c r="E181" i="26"/>
  <c r="G181" s="1"/>
  <c r="D182" s="1"/>
  <c r="E131" i="24"/>
  <c r="G131" s="1"/>
  <c r="D132" s="1"/>
  <c r="E32"/>
  <c r="G32" s="1"/>
  <c r="D33" s="1"/>
  <c r="G29" i="23"/>
  <c r="D30" s="1"/>
  <c r="E30" i="21"/>
  <c r="G29"/>
  <c r="H29" s="1"/>
  <c r="E38" i="27" l="1"/>
  <c r="G38" s="1"/>
  <c r="G128" i="23"/>
  <c r="D129" s="1"/>
  <c r="E129" s="1"/>
  <c r="D93"/>
  <c r="E93" s="1"/>
  <c r="G93" s="1"/>
  <c r="D94" s="1"/>
  <c r="E94" s="1"/>
  <c r="G94" s="1"/>
  <c r="D95" s="1"/>
  <c r="D65" i="24"/>
  <c r="E65" s="1"/>
  <c r="G65" s="1"/>
  <c r="G29" i="26"/>
  <c r="D30" s="1"/>
  <c r="G79"/>
  <c r="D80" s="1"/>
  <c r="G125"/>
  <c r="D126" s="1"/>
  <c r="E58" i="23"/>
  <c r="G58" s="1"/>
  <c r="D59" s="1"/>
  <c r="E97" i="24"/>
  <c r="G97" s="1"/>
  <c r="D98" s="1"/>
  <c r="D179" i="4"/>
  <c r="F179"/>
  <c r="B180" s="1"/>
  <c r="F137"/>
  <c r="B138" s="1"/>
  <c r="D137"/>
  <c r="E158" i="27"/>
  <c r="G158" s="1"/>
  <c r="D159" s="1"/>
  <c r="E222"/>
  <c r="G222" s="1"/>
  <c r="D223" s="1"/>
  <c r="E98"/>
  <c r="G98" s="1"/>
  <c r="D99" s="1"/>
  <c r="E182" i="26"/>
  <c r="G182" s="1"/>
  <c r="D183" s="1"/>
  <c r="E33" i="24"/>
  <c r="G33" s="1"/>
  <c r="D34" s="1"/>
  <c r="E30" i="23"/>
  <c r="G30" s="1"/>
  <c r="D31" s="1"/>
  <c r="D39" i="27" l="1"/>
  <c r="E39" s="1"/>
  <c r="G39" s="1"/>
  <c r="G129" i="23"/>
  <c r="D130" s="1"/>
  <c r="E130" s="1"/>
  <c r="D66" i="24"/>
  <c r="E66" s="1"/>
  <c r="E126" i="26"/>
  <c r="E80"/>
  <c r="G80" s="1"/>
  <c r="D81" s="1"/>
  <c r="E30"/>
  <c r="E59" i="23"/>
  <c r="G59" s="1"/>
  <c r="D60" s="1"/>
  <c r="E98" i="24"/>
  <c r="D180" i="4"/>
  <c r="F180"/>
  <c r="B181" s="1"/>
  <c r="F138"/>
  <c r="B139" s="1"/>
  <c r="D138"/>
  <c r="E99" i="27"/>
  <c r="G99" s="1"/>
  <c r="D100" s="1"/>
  <c r="E223"/>
  <c r="G223" s="1"/>
  <c r="D224" s="1"/>
  <c r="E159"/>
  <c r="G159" s="1"/>
  <c r="D160" s="1"/>
  <c r="E183" i="26"/>
  <c r="G183" s="1"/>
  <c r="D184" s="1"/>
  <c r="E132" i="24"/>
  <c r="D134"/>
  <c r="D5" s="1"/>
  <c r="E95" i="23"/>
  <c r="G95" s="1"/>
  <c r="D96" s="1"/>
  <c r="G130"/>
  <c r="D131" s="1"/>
  <c r="E131" s="1"/>
  <c r="E31"/>
  <c r="G31" s="1"/>
  <c r="D32" s="1"/>
  <c r="D40" i="27" l="1"/>
  <c r="E40" s="1"/>
  <c r="G40" s="1"/>
  <c r="E81" i="26"/>
  <c r="G81" s="1"/>
  <c r="G30"/>
  <c r="D31" s="1"/>
  <c r="G126"/>
  <c r="D127" s="1"/>
  <c r="E60" i="23"/>
  <c r="G60" s="1"/>
  <c r="D61" s="1"/>
  <c r="F181" i="4"/>
  <c r="B182" s="1"/>
  <c r="D181"/>
  <c r="F139"/>
  <c r="B140" s="1"/>
  <c r="D139"/>
  <c r="E160" i="27"/>
  <c r="G160" s="1"/>
  <c r="D161" s="1"/>
  <c r="E224"/>
  <c r="G224" s="1"/>
  <c r="D225" s="1"/>
  <c r="E100"/>
  <c r="G100" s="1"/>
  <c r="D101" s="1"/>
  <c r="E184" i="26"/>
  <c r="G184" s="1"/>
  <c r="D185" s="1"/>
  <c r="D68" i="24"/>
  <c r="D3" s="1"/>
  <c r="D100"/>
  <c r="D4" s="1"/>
  <c r="E134"/>
  <c r="G132"/>
  <c r="H132" s="1"/>
  <c r="E34"/>
  <c r="D36"/>
  <c r="D2" s="1"/>
  <c r="E96" i="23"/>
  <c r="G96" s="1"/>
  <c r="D97" s="1"/>
  <c r="G131"/>
  <c r="D132" s="1"/>
  <c r="E132" s="1"/>
  <c r="E32"/>
  <c r="G32" s="1"/>
  <c r="D33" s="1"/>
  <c r="D41" i="27" l="1"/>
  <c r="E41" s="1"/>
  <c r="G41" s="1"/>
  <c r="D82" i="26"/>
  <c r="E82" s="1"/>
  <c r="G82" s="1"/>
  <c r="E127"/>
  <c r="G127" s="1"/>
  <c r="D128" s="1"/>
  <c r="E61" i="23"/>
  <c r="G61" s="1"/>
  <c r="F182" i="4"/>
  <c r="B183" s="1"/>
  <c r="D182"/>
  <c r="F140"/>
  <c r="B141" s="1"/>
  <c r="D140"/>
  <c r="E225" i="27"/>
  <c r="G225" s="1"/>
  <c r="D226" s="1"/>
  <c r="E161"/>
  <c r="G161" s="1"/>
  <c r="D162" s="1"/>
  <c r="E101"/>
  <c r="G101" s="1"/>
  <c r="D102" s="1"/>
  <c r="E36" i="24"/>
  <c r="G34"/>
  <c r="H34" s="1"/>
  <c r="E100"/>
  <c r="G98"/>
  <c r="H98" s="1"/>
  <c r="E68"/>
  <c r="G66"/>
  <c r="H66" s="1"/>
  <c r="E97" i="23"/>
  <c r="G97" s="1"/>
  <c r="D98" s="1"/>
  <c r="E33"/>
  <c r="G33" s="1"/>
  <c r="D34" s="1"/>
  <c r="D42" i="27" l="1"/>
  <c r="E42" s="1"/>
  <c r="G42" s="1"/>
  <c r="D83" i="26"/>
  <c r="E83" s="1"/>
  <c r="G83" s="1"/>
  <c r="D84" s="1"/>
  <c r="E84" s="1"/>
  <c r="G84" s="1"/>
  <c r="D85" s="1"/>
  <c r="E85" s="1"/>
  <c r="G85" s="1"/>
  <c r="D86" s="1"/>
  <c r="D62" i="23"/>
  <c r="E62" s="1"/>
  <c r="G62" s="1"/>
  <c r="E128" i="26"/>
  <c r="G128" s="1"/>
  <c r="E31"/>
  <c r="D183" i="4"/>
  <c r="F183"/>
  <c r="B184" s="1"/>
  <c r="F141"/>
  <c r="B142" s="1"/>
  <c r="D141"/>
  <c r="E162" i="27"/>
  <c r="G162" s="1"/>
  <c r="D163" s="1"/>
  <c r="E226"/>
  <c r="G226" s="1"/>
  <c r="D227" s="1"/>
  <c r="E102"/>
  <c r="G102" s="1"/>
  <c r="D103" s="1"/>
  <c r="E185" i="26"/>
  <c r="D134" i="23"/>
  <c r="D5" s="1"/>
  <c r="D43" i="27" l="1"/>
  <c r="E43" s="1"/>
  <c r="G43" s="1"/>
  <c r="D129" i="26"/>
  <c r="E129" s="1"/>
  <c r="G129" s="1"/>
  <c r="D130" s="1"/>
  <c r="E130" s="1"/>
  <c r="G130" s="1"/>
  <c r="D131" s="1"/>
  <c r="D63" i="23"/>
  <c r="G31" i="26"/>
  <c r="D32" s="1"/>
  <c r="D184" i="4"/>
  <c r="F184"/>
  <c r="B185" s="1"/>
  <c r="D142"/>
  <c r="F142"/>
  <c r="B143" s="1"/>
  <c r="E103" i="27"/>
  <c r="G103" s="1"/>
  <c r="D104" s="1"/>
  <c r="E163"/>
  <c r="G163" s="1"/>
  <c r="D164" s="1"/>
  <c r="E227"/>
  <c r="G227" s="1"/>
  <c r="D228" s="1"/>
  <c r="E86" i="26"/>
  <c r="G86" s="1"/>
  <c r="D87" s="1"/>
  <c r="G185"/>
  <c r="D186" s="1"/>
  <c r="E134" i="23"/>
  <c r="G132"/>
  <c r="H132" s="1"/>
  <c r="E98"/>
  <c r="D100"/>
  <c r="D4" s="1"/>
  <c r="E34"/>
  <c r="D36"/>
  <c r="D2" s="1"/>
  <c r="D44" i="27" l="1"/>
  <c r="E44" s="1"/>
  <c r="G44" s="1"/>
  <c r="E63" i="23"/>
  <c r="E131" i="26"/>
  <c r="G131" s="1"/>
  <c r="D132" s="1"/>
  <c r="E186"/>
  <c r="G186" s="1"/>
  <c r="D187" s="1"/>
  <c r="E87"/>
  <c r="G87" s="1"/>
  <c r="D88" s="1"/>
  <c r="F185" i="4"/>
  <c r="B186" s="1"/>
  <c r="D185"/>
  <c r="D143"/>
  <c r="F143"/>
  <c r="B144" s="1"/>
  <c r="E104" i="27"/>
  <c r="G104" s="1"/>
  <c r="D105" s="1"/>
  <c r="E228"/>
  <c r="G228" s="1"/>
  <c r="D229" s="1"/>
  <c r="E164"/>
  <c r="G164" s="1"/>
  <c r="D165" s="1"/>
  <c r="E100" i="23"/>
  <c r="G98"/>
  <c r="H98" s="1"/>
  <c r="E36"/>
  <c r="G34"/>
  <c r="H34" s="1"/>
  <c r="D45" i="27" l="1"/>
  <c r="E45" s="1"/>
  <c r="G45" s="1"/>
  <c r="G63" i="23"/>
  <c r="E187" i="26"/>
  <c r="G187" s="1"/>
  <c r="D188" s="1"/>
  <c r="E132"/>
  <c r="G132" s="1"/>
  <c r="E88"/>
  <c r="G88" s="1"/>
  <c r="D89" s="1"/>
  <c r="E32"/>
  <c r="F186" i="4"/>
  <c r="B187" s="1"/>
  <c r="D186"/>
  <c r="F144"/>
  <c r="B145" s="1"/>
  <c r="D144"/>
  <c r="E105" i="27"/>
  <c r="G105" s="1"/>
  <c r="D106" s="1"/>
  <c r="E165"/>
  <c r="G165" s="1"/>
  <c r="D166" s="1"/>
  <c r="E229"/>
  <c r="G229" s="1"/>
  <c r="D230" s="1"/>
  <c r="D46" l="1"/>
  <c r="E46" s="1"/>
  <c r="G46" s="1"/>
  <c r="D133" i="26"/>
  <c r="E133" s="1"/>
  <c r="G133" s="1"/>
  <c r="D134" s="1"/>
  <c r="E134" s="1"/>
  <c r="G134" s="1"/>
  <c r="D135" s="1"/>
  <c r="D64" i="23"/>
  <c r="E188" i="26"/>
  <c r="G188" s="1"/>
  <c r="D189" s="1"/>
  <c r="E89"/>
  <c r="G89" s="1"/>
  <c r="D90" s="1"/>
  <c r="G32"/>
  <c r="F187" i="4"/>
  <c r="B188" s="1"/>
  <c r="D187"/>
  <c r="D145"/>
  <c r="F145"/>
  <c r="B146" s="1"/>
  <c r="E166" i="27"/>
  <c r="G166" s="1"/>
  <c r="D167" s="1"/>
  <c r="E230"/>
  <c r="G230" s="1"/>
  <c r="D231" s="1"/>
  <c r="E106"/>
  <c r="G106" s="1"/>
  <c r="D107" s="1"/>
  <c r="D47" l="1"/>
  <c r="E47" s="1"/>
  <c r="G47" s="1"/>
  <c r="D33" i="26"/>
  <c r="E33" s="1"/>
  <c r="G33" s="1"/>
  <c r="E64" i="23"/>
  <c r="E189" i="26"/>
  <c r="G189" s="1"/>
  <c r="E135"/>
  <c r="G135" s="1"/>
  <c r="E90"/>
  <c r="G90" s="1"/>
  <c r="D91" s="1"/>
  <c r="F188" i="4"/>
  <c r="B189" s="1"/>
  <c r="D188"/>
  <c r="F146"/>
  <c r="D146"/>
  <c r="D147" s="1"/>
  <c r="E107" i="27"/>
  <c r="G107" s="1"/>
  <c r="D108" s="1"/>
  <c r="E231"/>
  <c r="G231" s="1"/>
  <c r="D232" s="1"/>
  <c r="E167"/>
  <c r="G167" s="1"/>
  <c r="D168" s="1"/>
  <c r="D48" l="1"/>
  <c r="E48" s="1"/>
  <c r="G48" s="1"/>
  <c r="D190" i="26"/>
  <c r="E190" s="1"/>
  <c r="G190" s="1"/>
  <c r="D191" s="1"/>
  <c r="E191" s="1"/>
  <c r="G191" s="1"/>
  <c r="D192" s="1"/>
  <c r="D136"/>
  <c r="E136" s="1"/>
  <c r="G136" s="1"/>
  <c r="D34"/>
  <c r="E34" s="1"/>
  <c r="G34" s="1"/>
  <c r="G64" i="23"/>
  <c r="E91" i="26"/>
  <c r="G91" s="1"/>
  <c r="D92" s="1"/>
  <c r="F189" i="4"/>
  <c r="B190" s="1"/>
  <c r="D189"/>
  <c r="E232" i="27"/>
  <c r="G232" s="1"/>
  <c r="D233" s="1"/>
  <c r="E108"/>
  <c r="G108" s="1"/>
  <c r="D109" s="1"/>
  <c r="E168"/>
  <c r="G168" s="1"/>
  <c r="D169" s="1"/>
  <c r="D49" l="1"/>
  <c r="E49" s="1"/>
  <c r="G49" s="1"/>
  <c r="D137" i="26"/>
  <c r="E137" s="1"/>
  <c r="G137" s="1"/>
  <c r="D35"/>
  <c r="E35" s="1"/>
  <c r="G35" s="1"/>
  <c r="D65" i="23"/>
  <c r="E192" i="26"/>
  <c r="G192" s="1"/>
  <c r="D193" s="1"/>
  <c r="E92"/>
  <c r="G92" s="1"/>
  <c r="D93" s="1"/>
  <c r="F190" i="4"/>
  <c r="B191" s="1"/>
  <c r="D190"/>
  <c r="E169" i="27"/>
  <c r="G169" s="1"/>
  <c r="D170" s="1"/>
  <c r="E233"/>
  <c r="G233" s="1"/>
  <c r="D234" s="1"/>
  <c r="E109"/>
  <c r="G109" s="1"/>
  <c r="D110" s="1"/>
  <c r="D50" l="1"/>
  <c r="E50" s="1"/>
  <c r="G50" s="1"/>
  <c r="D138" i="26"/>
  <c r="E138" s="1"/>
  <c r="G138" s="1"/>
  <c r="D139" s="1"/>
  <c r="E139" s="1"/>
  <c r="G139" s="1"/>
  <c r="D140" s="1"/>
  <c r="E140" s="1"/>
  <c r="G140" s="1"/>
  <c r="D141" s="1"/>
  <c r="E141" s="1"/>
  <c r="G141" s="1"/>
  <c r="D142" s="1"/>
  <c r="D36"/>
  <c r="E36" s="1"/>
  <c r="G36" s="1"/>
  <c r="E65" i="23"/>
  <c r="E193" i="26"/>
  <c r="G193" s="1"/>
  <c r="D194" s="1"/>
  <c r="E93"/>
  <c r="G93" s="1"/>
  <c r="D94" s="1"/>
  <c r="F191" i="4"/>
  <c r="B192" s="1"/>
  <c r="D191"/>
  <c r="E234" i="27"/>
  <c r="G234" s="1"/>
  <c r="D235" s="1"/>
  <c r="E170"/>
  <c r="G170" s="1"/>
  <c r="D171" s="1"/>
  <c r="E110"/>
  <c r="G110" s="1"/>
  <c r="D111" s="1"/>
  <c r="D51" l="1"/>
  <c r="E51" s="1"/>
  <c r="G51" s="1"/>
  <c r="D37" i="26"/>
  <c r="E37" s="1"/>
  <c r="G37" s="1"/>
  <c r="D38" s="1"/>
  <c r="E38" s="1"/>
  <c r="G38" s="1"/>
  <c r="D39" s="1"/>
  <c r="E39" s="1"/>
  <c r="G39" s="1"/>
  <c r="D40" s="1"/>
  <c r="E40" s="1"/>
  <c r="G40" s="1"/>
  <c r="D41" s="1"/>
  <c r="E41" s="1"/>
  <c r="G41" s="1"/>
  <c r="D42" s="1"/>
  <c r="E42" s="1"/>
  <c r="G42" s="1"/>
  <c r="D43" s="1"/>
  <c r="G65" i="23"/>
  <c r="E194" i="26"/>
  <c r="G194" s="1"/>
  <c r="D195" s="1"/>
  <c r="E142"/>
  <c r="G142" s="1"/>
  <c r="D143" s="1"/>
  <c r="E94"/>
  <c r="G94" s="1"/>
  <c r="D95" s="1"/>
  <c r="D192" i="4"/>
  <c r="F192"/>
  <c r="B193" s="1"/>
  <c r="E111" i="27"/>
  <c r="G111" s="1"/>
  <c r="D112" s="1"/>
  <c r="E235"/>
  <c r="G235" s="1"/>
  <c r="D236" s="1"/>
  <c r="E171"/>
  <c r="G171" s="1"/>
  <c r="D172" s="1"/>
  <c r="D52" l="1"/>
  <c r="E52" s="1"/>
  <c r="G52" s="1"/>
  <c r="D66" i="23"/>
  <c r="E143" i="26"/>
  <c r="G143" s="1"/>
  <c r="D144" s="1"/>
  <c r="E95"/>
  <c r="G95" s="1"/>
  <c r="E43"/>
  <c r="G43" s="1"/>
  <c r="F193" i="4"/>
  <c r="B194" s="1"/>
  <c r="D193"/>
  <c r="E112" i="27"/>
  <c r="G112" s="1"/>
  <c r="D113" s="1"/>
  <c r="E172"/>
  <c r="G172" s="1"/>
  <c r="D173" s="1"/>
  <c r="E236"/>
  <c r="G236" s="1"/>
  <c r="D237" s="1"/>
  <c r="D53" l="1"/>
  <c r="E53" s="1"/>
  <c r="G53" s="1"/>
  <c r="D96" i="26"/>
  <c r="E96" s="1"/>
  <c r="G96" s="1"/>
  <c r="D44"/>
  <c r="E44" s="1"/>
  <c r="G44" s="1"/>
  <c r="E66" i="23"/>
  <c r="D68"/>
  <c r="D3" s="1"/>
  <c r="E195" i="26"/>
  <c r="E144"/>
  <c r="G144" s="1"/>
  <c r="D145" s="1"/>
  <c r="D194" i="4"/>
  <c r="F194"/>
  <c r="B195" s="1"/>
  <c r="E113" i="27"/>
  <c r="G113" s="1"/>
  <c r="D114" s="1"/>
  <c r="E173"/>
  <c r="G173" s="1"/>
  <c r="D174" s="1"/>
  <c r="D54" l="1"/>
  <c r="E54" s="1"/>
  <c r="G54" s="1"/>
  <c r="D97" i="26"/>
  <c r="E97" s="1"/>
  <c r="D45"/>
  <c r="E45" s="1"/>
  <c r="G45" s="1"/>
  <c r="D46" s="1"/>
  <c r="E46" s="1"/>
  <c r="G46" s="1"/>
  <c r="E68" i="23"/>
  <c r="G66"/>
  <c r="H66" s="1"/>
  <c r="G195" i="26"/>
  <c r="D196" s="1"/>
  <c r="E145"/>
  <c r="G145" s="1"/>
  <c r="D146" s="1"/>
  <c r="D195" i="4"/>
  <c r="F195"/>
  <c r="B196" s="1"/>
  <c r="E114" i="27"/>
  <c r="G114" s="1"/>
  <c r="D115" s="1"/>
  <c r="E237"/>
  <c r="E174"/>
  <c r="G174" s="1"/>
  <c r="D175" s="1"/>
  <c r="D55" l="1"/>
  <c r="E55" s="1"/>
  <c r="G55" s="1"/>
  <c r="G97" i="26"/>
  <c r="D47"/>
  <c r="E47" s="1"/>
  <c r="G47" s="1"/>
  <c r="D196" i="4"/>
  <c r="F196"/>
  <c r="B197" s="1"/>
  <c r="G237" i="27"/>
  <c r="D238" s="1"/>
  <c r="D56" l="1"/>
  <c r="E56" s="1"/>
  <c r="G56" s="1"/>
  <c r="D98" i="26"/>
  <c r="D100" s="1"/>
  <c r="D3" s="1"/>
  <c r="D48"/>
  <c r="E48" s="1"/>
  <c r="G48" s="1"/>
  <c r="E196"/>
  <c r="D198"/>
  <c r="D5" s="1"/>
  <c r="E146"/>
  <c r="D148"/>
  <c r="D4" s="1"/>
  <c r="E238" i="27"/>
  <c r="G238" s="1"/>
  <c r="D239" s="1"/>
  <c r="F197" i="4"/>
  <c r="B198" s="1"/>
  <c r="D197"/>
  <c r="E115" i="27"/>
  <c r="E175"/>
  <c r="D57" l="1"/>
  <c r="E57" s="1"/>
  <c r="G57" s="1"/>
  <c r="E98" i="26"/>
  <c r="E100" s="1"/>
  <c r="D49"/>
  <c r="E49" s="1"/>
  <c r="G49" s="1"/>
  <c r="E198"/>
  <c r="G196"/>
  <c r="H196" s="1"/>
  <c r="E148"/>
  <c r="G146"/>
  <c r="H146" s="1"/>
  <c r="E239" i="27"/>
  <c r="G239" s="1"/>
  <c r="D240" s="1"/>
  <c r="F198" i="4"/>
  <c r="B199" s="1"/>
  <c r="D198"/>
  <c r="G175" i="27"/>
  <c r="G115"/>
  <c r="D58" l="1"/>
  <c r="E58" s="1"/>
  <c r="G58" s="1"/>
  <c r="G98" i="26"/>
  <c r="H98" s="1"/>
  <c r="D50"/>
  <c r="D116" i="27"/>
  <c r="E116" s="1"/>
  <c r="G116" s="1"/>
  <c r="D117" s="1"/>
  <c r="E117" s="1"/>
  <c r="G117" s="1"/>
  <c r="D176"/>
  <c r="E176" s="1"/>
  <c r="G176" s="1"/>
  <c r="E240"/>
  <c r="G240" s="1"/>
  <c r="D241" s="1"/>
  <c r="D199" i="4"/>
  <c r="F199"/>
  <c r="D59" i="27" l="1"/>
  <c r="E59" s="1"/>
  <c r="G59" s="1"/>
  <c r="E50" i="26"/>
  <c r="D52"/>
  <c r="D2" s="1"/>
  <c r="D118" i="27"/>
  <c r="E118" s="1"/>
  <c r="G118" s="1"/>
  <c r="D119" s="1"/>
  <c r="E119" s="1"/>
  <c r="G119" s="1"/>
  <c r="D177"/>
  <c r="E177" s="1"/>
  <c r="G177" s="1"/>
  <c r="E241"/>
  <c r="G241" s="1"/>
  <c r="D242" s="1"/>
  <c r="D60" l="1"/>
  <c r="E60" s="1"/>
  <c r="G60" s="1"/>
  <c r="E52" i="26"/>
  <c r="G50"/>
  <c r="H50" s="1"/>
  <c r="D120" i="27"/>
  <c r="E120" s="1"/>
  <c r="G120" s="1"/>
  <c r="D121" s="1"/>
  <c r="E121" s="1"/>
  <c r="G121" s="1"/>
  <c r="D122" s="1"/>
  <c r="E122" s="1"/>
  <c r="G122" s="1"/>
  <c r="D178"/>
  <c r="E178" s="1"/>
  <c r="G178" s="1"/>
  <c r="E242"/>
  <c r="G242" s="1"/>
  <c r="D243" s="1"/>
  <c r="D61" l="1"/>
  <c r="D123"/>
  <c r="E123" s="1"/>
  <c r="G123" s="1"/>
  <c r="D124" s="1"/>
  <c r="E124" s="1"/>
  <c r="G124" s="1"/>
  <c r="D125" s="1"/>
  <c r="E125" s="1"/>
  <c r="G125" s="1"/>
  <c r="D126" s="1"/>
  <c r="E126" s="1"/>
  <c r="G126" s="1"/>
  <c r="D179"/>
  <c r="E179" s="1"/>
  <c r="G179" s="1"/>
  <c r="E243"/>
  <c r="G243" s="1"/>
  <c r="D244" s="1"/>
  <c r="E61" l="1"/>
  <c r="D180"/>
  <c r="E180" s="1"/>
  <c r="G180" s="1"/>
  <c r="D127"/>
  <c r="E244"/>
  <c r="G244" s="1"/>
  <c r="D245" s="1"/>
  <c r="G61" l="1"/>
  <c r="D181"/>
  <c r="E181" s="1"/>
  <c r="G181" s="1"/>
  <c r="E127"/>
  <c r="D129"/>
  <c r="D5" s="1"/>
  <c r="E245"/>
  <c r="G245" s="1"/>
  <c r="D246" s="1"/>
  <c r="D62" l="1"/>
  <c r="D182"/>
  <c r="E182" s="1"/>
  <c r="G182" s="1"/>
  <c r="E129"/>
  <c r="G127"/>
  <c r="H127" s="1"/>
  <c r="E246"/>
  <c r="G246" s="1"/>
  <c r="D247" s="1"/>
  <c r="E62" l="1"/>
  <c r="D183"/>
  <c r="E183" s="1"/>
  <c r="G183" s="1"/>
  <c r="D184" s="1"/>
  <c r="E184" s="1"/>
  <c r="G184" s="1"/>
  <c r="E247"/>
  <c r="G247" s="1"/>
  <c r="D248" s="1"/>
  <c r="G62" l="1"/>
  <c r="D185"/>
  <c r="E185" s="1"/>
  <c r="G185" s="1"/>
  <c r="E248"/>
  <c r="G248" s="1"/>
  <c r="D249" s="1"/>
  <c r="D63" l="1"/>
  <c r="D186"/>
  <c r="E186" s="1"/>
  <c r="G186" s="1"/>
  <c r="D187" s="1"/>
  <c r="E63" l="1"/>
  <c r="E187"/>
  <c r="D189"/>
  <c r="D6" s="1"/>
  <c r="E249"/>
  <c r="E252" s="1"/>
  <c r="D252"/>
  <c r="D7" s="1"/>
  <c r="G63" l="1"/>
  <c r="G187"/>
  <c r="H187" s="1"/>
  <c r="E189"/>
  <c r="G249"/>
  <c r="H249" s="1"/>
  <c r="D64" l="1"/>
  <c r="E64" l="1"/>
  <c r="G64" l="1"/>
  <c r="D65" l="1"/>
  <c r="E65" l="1"/>
  <c r="G65" l="1"/>
  <c r="D66" l="1"/>
  <c r="E66" l="1"/>
  <c r="D68"/>
  <c r="D4" s="1"/>
  <c r="E68" l="1"/>
  <c r="G66"/>
  <c r="H66" s="1"/>
  <c r="N35" i="29"/>
  <c r="L34"/>
  <c r="N34" s="1"/>
  <c r="P35"/>
  <c r="P36" l="1"/>
  <c r="M36"/>
  <c r="N36" s="1"/>
  <c r="L37"/>
  <c r="M284" l="1"/>
  <c r="L284" s="1"/>
  <c r="L285" s="1"/>
  <c r="P284" l="1"/>
  <c r="M312"/>
  <c r="N312" s="1"/>
  <c r="P329"/>
  <c r="L330"/>
  <c r="N329"/>
</calcChain>
</file>

<file path=xl/sharedStrings.xml><?xml version="1.0" encoding="utf-8"?>
<sst xmlns="http://schemas.openxmlformats.org/spreadsheetml/2006/main" count="1336" uniqueCount="344">
  <si>
    <t>OSL</t>
  </si>
  <si>
    <t>interest rate</t>
  </si>
  <si>
    <t>monthly interest</t>
  </si>
  <si>
    <t>monthly principal</t>
  </si>
  <si>
    <t>running balance</t>
  </si>
  <si>
    <t>Total</t>
  </si>
  <si>
    <t>Loan</t>
  </si>
  <si>
    <t>example 1</t>
  </si>
  <si>
    <t>Term</t>
  </si>
  <si>
    <t>Installment ID</t>
  </si>
  <si>
    <t>example 2</t>
  </si>
  <si>
    <t>date diff</t>
  </si>
  <si>
    <t>Disbursal date</t>
  </si>
  <si>
    <t>No</t>
  </si>
  <si>
    <t>p bal</t>
  </si>
  <si>
    <t>i*P / [1- (1+i)^-n]</t>
  </si>
  <si>
    <t>Term (months)</t>
  </si>
  <si>
    <t>i</t>
  </si>
  <si>
    <t>p</t>
  </si>
  <si>
    <t>n</t>
  </si>
  <si>
    <t>r</t>
  </si>
  <si>
    <t>Existing pawdep calculation</t>
  </si>
  <si>
    <t>EMI</t>
  </si>
  <si>
    <t>monthly rate</t>
  </si>
  <si>
    <t>terms in months</t>
  </si>
  <si>
    <t>daily rate</t>
  </si>
  <si>
    <t>last installment</t>
  </si>
  <si>
    <t>example 3</t>
  </si>
  <si>
    <t>loan amount</t>
  </si>
  <si>
    <t>rate</t>
  </si>
  <si>
    <t>communicated</t>
  </si>
  <si>
    <t>last instal</t>
  </si>
  <si>
    <t>total interest</t>
  </si>
  <si>
    <t>terms</t>
  </si>
  <si>
    <t>example 4</t>
  </si>
  <si>
    <t>savings amount</t>
  </si>
  <si>
    <t>Loan amount</t>
  </si>
  <si>
    <t>EMI formula</t>
  </si>
  <si>
    <t>amt</t>
  </si>
  <si>
    <t>date</t>
  </si>
  <si>
    <t>total i</t>
  </si>
  <si>
    <t>instal amt</t>
  </si>
  <si>
    <t>pawdep</t>
  </si>
  <si>
    <t>pawdep int</t>
  </si>
  <si>
    <t>Key principals</t>
  </si>
  <si>
    <t>if the person pays differently to the initial schedule (ie either early or late, or amounts less or greater) then the running schedule will refresh to recalculate interest amount due</t>
  </si>
  <si>
    <t>if the person pays differently to the initial schedule, the next installment interest will recalculate but all future installments will remain as per the initial schedule</t>
  </si>
  <si>
    <t>the initial loan schedule is retained as a reference point at all times</t>
  </si>
  <si>
    <t xml:space="preserve">interest will be calculated based on the receipt date- ie I could backdate a payment and this would mean interest is calcualted as per the receipt date, not the posting date. </t>
  </si>
  <si>
    <t>no</t>
  </si>
  <si>
    <t>Pawdep Agree y/n</t>
  </si>
  <si>
    <t xml:space="preserve">the initial loan schedule is calculated to give equal installment amounts- increasing principal, decreasing interest. In order to retain the same total interest amount paid by the client, Pawdep can adjust the interest rate used to book the loan. </t>
  </si>
  <si>
    <t>if the person pays according to the initial loan schedule (ie expected amounts on the scheduled dates) then there will be no change to the schedule.</t>
  </si>
  <si>
    <t xml:space="preserve">recovery order will always be interest due to date first and then principal with all prepayments allocated to future principal. </t>
  </si>
  <si>
    <t xml:space="preserve">If pawdep receive early payments from the clients and don't want the system to calculate less interest, they will need to hold the payment until the expected payment date and post it at that point in time. </t>
  </si>
  <si>
    <t xml:space="preserve">Loan payoff at any point will require the person to pay interest due to date + all outstanding principal. </t>
  </si>
  <si>
    <t>Installment</t>
  </si>
  <si>
    <t>Due Date</t>
  </si>
  <si>
    <t>Principal</t>
  </si>
  <si>
    <t>interest</t>
  </si>
  <si>
    <t>days</t>
  </si>
  <si>
    <t>o/s p</t>
  </si>
  <si>
    <t>amount</t>
  </si>
  <si>
    <t>disbursed</t>
  </si>
  <si>
    <t>Monthly</t>
  </si>
  <si>
    <t>Payment =</t>
  </si>
  <si>
    <t>Test Data Initial Schedule</t>
  </si>
  <si>
    <t>Loan Inputs</t>
  </si>
  <si>
    <t>RB2</t>
  </si>
  <si>
    <t>RB1</t>
  </si>
  <si>
    <t>RB3</t>
  </si>
  <si>
    <t>RB5</t>
  </si>
  <si>
    <t>rate (daily)</t>
  </si>
  <si>
    <t>rate (monthly)</t>
  </si>
  <si>
    <t>Scenario: Payment is early and less than required</t>
  </si>
  <si>
    <t>Test Steps</t>
  </si>
  <si>
    <t>1) Make the first payment in the amount of Ksh 200 on Sept 20</t>
  </si>
  <si>
    <t>2) Move the date to Oct 24th.</t>
  </si>
  <si>
    <t>3) Confirm that the payment schedule is as follows and the account is Active in Bad Standing.</t>
  </si>
  <si>
    <t>Scenario: Payment is early and more than required</t>
  </si>
  <si>
    <t>Scenario: Payment is early and correct</t>
  </si>
  <si>
    <t>3) Confirm that the payment schedule is as follows and the account is Active in GOOD Standing.</t>
  </si>
  <si>
    <t>1) Make the first payment in the amount of Ksh 261.32 on Sept 23</t>
  </si>
  <si>
    <t>1) Make the first payment in the amount of Ksh 280 on Sept 23</t>
  </si>
  <si>
    <t>RB4</t>
  </si>
  <si>
    <t>Scenario: Payment is ontime and less</t>
  </si>
  <si>
    <t>3) Confirm that the payment schedule is as follows and the account is Active in BAD Standing.</t>
  </si>
  <si>
    <t>1) Make the first payment in the amount of Ksh 220 on Sept 25</t>
  </si>
  <si>
    <t>Scenario: Payment is ontime and more</t>
  </si>
  <si>
    <t>1) Make the first payment in the amount of Ksh 300 on Sept 25</t>
  </si>
  <si>
    <t>RB6</t>
  </si>
  <si>
    <t>Scenario: Payment is ontime and correct</t>
  </si>
  <si>
    <t>1) Make the first payment in the amount of Ksh 262.64 on Sept 25</t>
  </si>
  <si>
    <t>2) Make the second payment in the amount of 262.63 on Oct 25</t>
  </si>
  <si>
    <t>RB7</t>
  </si>
  <si>
    <t>Scenario: Payment is late and less</t>
  </si>
  <si>
    <t>3) Move the date to Oct 30th.</t>
  </si>
  <si>
    <t>4) Confirm that the payment schedule is as follows and the account is Active in GOOD Standing.</t>
  </si>
  <si>
    <t>1) Make the first payment in the amount of Ksh 200 on Sept 30</t>
  </si>
  <si>
    <t>RB8</t>
  </si>
  <si>
    <t>Scenario: Payment is late and more</t>
  </si>
  <si>
    <t>1) Make the first payment in the amount of Ksh 400 on Sept 30</t>
  </si>
  <si>
    <t>RB9</t>
  </si>
  <si>
    <t>Scenario: Payment is late and correct</t>
  </si>
  <si>
    <t>1) Make the first payment in the amount of Ksh 265.93 on Sept 30</t>
  </si>
  <si>
    <t>RB12</t>
  </si>
  <si>
    <t>Scenario: Payment is ontime but more than the outstanding balance - Error Case?</t>
  </si>
  <si>
    <t>1) Make the first payment in the amount of Ksh 1100 on Sept 25</t>
  </si>
  <si>
    <t>2) Observe Error?</t>
  </si>
  <si>
    <t>RB13</t>
  </si>
  <si>
    <t>Scenario: Payment is backdated 1 day and backdate is ontime</t>
  </si>
  <si>
    <t>2) Move the date to Oct 26th.</t>
  </si>
  <si>
    <t>3) Make a backdated payment for 262.63 on Oct 25</t>
  </si>
  <si>
    <t>4) Move the date to Oct 27</t>
  </si>
  <si>
    <t>5) Observe that the payment schedule is as follows and account is in GOOD Standing.</t>
  </si>
  <si>
    <t>RB14</t>
  </si>
  <si>
    <t>Scenario: Payment is backdated 1 day and backdate is late</t>
  </si>
  <si>
    <t>2) Move the date to Oct 28th.</t>
  </si>
  <si>
    <t>3) Make a backdated payment for 262.63 on Oct 27</t>
  </si>
  <si>
    <t>5) Observe that the payment schedule is as follows and account is in BAD Standing.</t>
  </si>
  <si>
    <t>4) Move the date to Oct 29</t>
  </si>
  <si>
    <t>RB15</t>
  </si>
  <si>
    <t>Scenario: Payment is backdated 1 day and backdate is early</t>
  </si>
  <si>
    <t>2) Move the date to Oct 23th.</t>
  </si>
  <si>
    <t>3) Make a backdated payment for 262.63 on Oct 22</t>
  </si>
  <si>
    <t>RB16</t>
  </si>
  <si>
    <t>Scenario: Payment is backdated 1 week and backdate is ontime</t>
  </si>
  <si>
    <t>2) Move the date to Nov 1st.</t>
  </si>
  <si>
    <t>4) Move the date to Nov 2nd</t>
  </si>
  <si>
    <t>Scenario: Payment is backdated 6 weeks and backdate is ontime</t>
  </si>
  <si>
    <t>2) Move the date to Nov 25th.</t>
  </si>
  <si>
    <t>3) Make a payment for 262.62</t>
  </si>
  <si>
    <t>4) Move the date to Nov 29th</t>
  </si>
  <si>
    <t>5) Make a backdated payment for 262.63 on Oct 25</t>
  </si>
  <si>
    <t>6) Move the date to Nov 30th</t>
  </si>
  <si>
    <t>7) Observe that the payment schedule is as follows and account is in GOOD Standing</t>
  </si>
  <si>
    <t>RB17</t>
  </si>
  <si>
    <t>RB18</t>
  </si>
  <si>
    <t>5) Make a backdated payment for 262.63 on Oct 29</t>
  </si>
  <si>
    <t>7) Observe that the payment schedule is as follows and account is in BAD Standing</t>
  </si>
  <si>
    <t>RB19</t>
  </si>
  <si>
    <t>Scenario: Whole loan is paid on time and without issue</t>
  </si>
  <si>
    <t>5) Observe that the loan has been closed out? Anything else here?</t>
  </si>
  <si>
    <t>RB20</t>
  </si>
  <si>
    <t>Scenario: Whole loan is paid two payments are early</t>
  </si>
  <si>
    <t>RB21</t>
  </si>
  <si>
    <t>Scenario: Whole loan is paid two payments are late</t>
  </si>
  <si>
    <t>2) Make the second payment in the amount of Ksh 262.63 on Oct 25</t>
  </si>
  <si>
    <t>3) Make the third payment in the amount of Ksh 262.62 on Nov 25</t>
  </si>
  <si>
    <t>2) Make the second payment in the amount of Ksh 262.63 on Oct 20</t>
  </si>
  <si>
    <t>3) Make the third payment in the amount of Ksh 262.62 on Nov 20</t>
  </si>
  <si>
    <t>RB22</t>
  </si>
  <si>
    <t>Scenario: Loan Redo to lengthen loan from 4 installements to 6 after the first payment</t>
  </si>
  <si>
    <t>2) Make the second payment in the amount of Ksh 262.63 on Oct 30</t>
  </si>
  <si>
    <t>3) Make the third payment in the amount of Ksh 262.62 on Nov 30</t>
  </si>
  <si>
    <t>2) Redo the loan to make it 6 further payments</t>
  </si>
  <si>
    <t>4) Observe that the loan schedule is as follows and the loan is in GOOD standing</t>
  </si>
  <si>
    <t>AMT</t>
  </si>
  <si>
    <t>3) Make the first payment of Ksh 135 on Oct 25</t>
  </si>
  <si>
    <t>RB23</t>
  </si>
  <si>
    <t>Scenario: Loan Redo to shorten the loan from 4 installements to 2 further payment  after the first payment</t>
  </si>
  <si>
    <t>2) Redo the loan to make it 2 further payments</t>
  </si>
  <si>
    <t>3) Make the first payment of Ksh 375.04 on Oct 25</t>
  </si>
  <si>
    <t>RB24</t>
  </si>
  <si>
    <t>Scenario: Loan Redo to lengthen loan from 4 installements to 5 after the first two payments</t>
  </si>
  <si>
    <t>RB25</t>
  </si>
  <si>
    <t>Scenario: Partial Payments - one early one is late - total is less</t>
  </si>
  <si>
    <t>2) Make the first payment in the amount of Ksh 350 on Oct 15</t>
  </si>
  <si>
    <t>3) Redo the loan to make it 5 further payments</t>
  </si>
  <si>
    <t>4) Make the first payment of Ksh 89 on Nov 15</t>
  </si>
  <si>
    <t>5) Observe that the loan schedule is as follows and the loan is in GOOD standing</t>
  </si>
  <si>
    <t>1) Make the first payment in the amount of Ksh 100 on Sept 15</t>
  </si>
  <si>
    <t>2) Make the second payment in the amount of Ksh 100 on Oct 5</t>
  </si>
  <si>
    <t>3) Move the date to Oct 20</t>
  </si>
  <si>
    <t>4) Observe that the loan schedule is as follows and the loan is in BAD standing</t>
  </si>
  <si>
    <t>RB26</t>
  </si>
  <si>
    <t>1) Make the first payment in the amount of Ksh 200 on Sept 15</t>
  </si>
  <si>
    <t>2) Make the second payment in the amount of Ksh 200 on Oct 5</t>
  </si>
  <si>
    <t>RB27</t>
  </si>
  <si>
    <t>Scenario: Partial Payments - one early one is late - total is correct</t>
  </si>
  <si>
    <t>2) Make the second payment in the amount of Ksh  61.84 on Oct 5</t>
  </si>
  <si>
    <t>Scenario: Partial Payments - one early one is late - total is more</t>
  </si>
  <si>
    <t>RB28</t>
  </si>
  <si>
    <t>Scenario: Partial Payments - both early</t>
  </si>
  <si>
    <t>2) Make the second payment in the amount of Ksh 70 on Sept 20</t>
  </si>
  <si>
    <t>RB29</t>
  </si>
  <si>
    <t>RB31</t>
  </si>
  <si>
    <t>Scenario: Partial Payments - both late</t>
  </si>
  <si>
    <t>1) Make the first payment in the amount of Ksh 100 on Sept 30</t>
  </si>
  <si>
    <t>2) Move the clock to Oct 2nd</t>
  </si>
  <si>
    <t>3) Reverse the payment from Sept 25th and reapply a payment for Ksh 200 on the same date.</t>
  </si>
  <si>
    <t>RB32</t>
  </si>
  <si>
    <t>3) Reverse the payment from Sept 25th and reapply a payment for Ksh 300 on the same date.</t>
  </si>
  <si>
    <t>RB33</t>
  </si>
  <si>
    <t>3) Reverse the payment from Sept 25th and do no reapply a payment</t>
  </si>
  <si>
    <t>RB37</t>
  </si>
  <si>
    <t>Scenario: Payment is more than 1 month late</t>
  </si>
  <si>
    <t>1) Make the first payment in the amount of Ksh 262.64 on Oct 28</t>
  </si>
  <si>
    <t>RB38</t>
  </si>
  <si>
    <t>2) Reverse the payment from Sept 25th and do no reapply a payment</t>
  </si>
  <si>
    <t>3) Observe that the loan schedule is as follows and the loan is in BAD standing</t>
  </si>
  <si>
    <t>Scenario: Enter a negative payment amount</t>
  </si>
  <si>
    <t>1) Make the first payment in the amount of Ksh -100 on Sept 25th</t>
  </si>
  <si>
    <t>2) Observe an Error?</t>
  </si>
  <si>
    <t>4) Make the fourth payment in the amount of Ksh 262.96 on Dec 26 (as the 25th is a Hol)</t>
  </si>
  <si>
    <t>RB39</t>
  </si>
  <si>
    <t>Scenario: Payment is made on a holiday</t>
  </si>
  <si>
    <t>1) Make the first payment in the amount of Ksh 262.64 on Oct 25</t>
  </si>
  <si>
    <t>2) Make the second payment in the amount of Ksh 262.63 on Nov 25</t>
  </si>
  <si>
    <t>4) Make the fourth payment in the amount of Ksh 262.61 on Jan 25</t>
  </si>
  <si>
    <t>3) Make the third payment in the amount of Ksh 262.62 on Dec 25 (even though its a hol)</t>
  </si>
  <si>
    <t>Scenario: Future Date a payment</t>
  </si>
  <si>
    <t>1) Move the date to Sept 15</t>
  </si>
  <si>
    <t>2) Enter a payment of 262.64 on Sept 20th</t>
  </si>
  <si>
    <t>3) Observe an Error.</t>
  </si>
  <si>
    <t>RB40</t>
  </si>
  <si>
    <t>RB41</t>
  </si>
  <si>
    <t>Scenario: Final Payment is less</t>
  </si>
  <si>
    <t>2) Make the second payment in the amount of Ksh 262.63 on Sept 25</t>
  </si>
  <si>
    <t>4) Make the fourth payment in the amount of Ksh 100 on Dec 26 (as the 25th is a hol)</t>
  </si>
  <si>
    <t>5) Observe that the loan is NOT closed out and is in BAD standing</t>
  </si>
  <si>
    <t>RB43</t>
  </si>
  <si>
    <t>Scenario: Fee Collection</t>
  </si>
  <si>
    <t>Fees</t>
  </si>
  <si>
    <t>4) Observe that fee has been taken, then the interest and then the principle</t>
  </si>
  <si>
    <t>2) Add a manual fee to the account for Ksh 250.</t>
  </si>
  <si>
    <t>3) Make the second payment in the amount of Ksh 262.63 on Oct 25</t>
  </si>
  <si>
    <t>Scenario</t>
  </si>
  <si>
    <t>P/F/I</t>
  </si>
  <si>
    <t>Result</t>
  </si>
  <si>
    <t>Notes</t>
  </si>
  <si>
    <t>Date</t>
  </si>
  <si>
    <t>Tester</t>
  </si>
  <si>
    <t>Sys Ver</t>
  </si>
  <si>
    <t>Test Case Execution Results</t>
  </si>
  <si>
    <t>Outstanding Issues</t>
  </si>
  <si>
    <t>1) Need to a test that verifies rounding. UI rounding is set to 0 decimal places. Backend will always be 2 decimal places.  We need a schedule where this will matter.</t>
  </si>
  <si>
    <t>4 Payment Test Schedule - All Tests start with this schedule</t>
  </si>
  <si>
    <t>Instructions</t>
  </si>
  <si>
    <t>Edit the shaded fields below as required.  Excel will use these to fill in the cover sheet and the headers and footers.</t>
  </si>
  <si>
    <t>Fill in the Revision History in columns C-G, from row 43 down.</t>
  </si>
  <si>
    <t>Change cell B7 to "ENABLE" to use the automatic header and footer vb code.  To disable this feature set this field to "DISABLE" e.g., for incompatible excel versions.</t>
  </si>
  <si>
    <t>Do not make other changes to the cover page!</t>
  </si>
  <si>
    <t>Parameters</t>
  </si>
  <si>
    <t>Value</t>
  </si>
  <si>
    <t>Calculated file name</t>
  </si>
  <si>
    <t>AutoTemplate</t>
  </si>
  <si>
    <t>ENABLE</t>
  </si>
  <si>
    <t>Project Title</t>
  </si>
  <si>
    <t>Excel function for name</t>
  </si>
  <si>
    <t>Document Title</t>
  </si>
  <si>
    <t>Left square bracket</t>
  </si>
  <si>
    <t>Product Release</t>
  </si>
  <si>
    <t>NA</t>
  </si>
  <si>
    <t>Doc. Ref</t>
  </si>
  <si>
    <t>Version</t>
  </si>
  <si>
    <t>Put all version values to zero for "Snapshot"</t>
  </si>
  <si>
    <t>Right square bracket</t>
  </si>
  <si>
    <t>Formal Release</t>
  </si>
  <si>
    <t>Extracted file name</t>
  </si>
  <si>
    <t>Displayed name</t>
  </si>
  <si>
    <t>Internal Release</t>
  </si>
  <si>
    <t>Release Date</t>
  </si>
  <si>
    <t>Header</t>
  </si>
  <si>
    <t>Left1</t>
  </si>
  <si>
    <t>Owner</t>
  </si>
  <si>
    <t>Spencer Morley</t>
  </si>
  <si>
    <t>Left2</t>
  </si>
  <si>
    <t>Classification</t>
  </si>
  <si>
    <t>Confidential</t>
  </si>
  <si>
    <t>Right1</t>
  </si>
  <si>
    <t>Status</t>
  </si>
  <si>
    <t>Right2</t>
  </si>
  <si>
    <t>Copyright</t>
  </si>
  <si>
    <t>©Software Group BG 2011</t>
  </si>
  <si>
    <t>Footer</t>
  </si>
  <si>
    <t>Summary</t>
  </si>
  <si>
    <t>Released</t>
  </si>
  <si>
    <t>Source</t>
  </si>
  <si>
    <t>Revision History</t>
  </si>
  <si>
    <t>Description</t>
  </si>
  <si>
    <t>Editor</t>
  </si>
  <si>
    <t>Release Notes</t>
  </si>
  <si>
    <t>VSL Testing</t>
  </si>
  <si>
    <t>VSL Reducing Balance Test Cases</t>
  </si>
  <si>
    <t>This document contains the test cases required to test the Reducing Balance loan schedule calculation functionality of MIFOS.</t>
  </si>
  <si>
    <t>Internal release of first draft.</t>
  </si>
  <si>
    <t>Updated version with doc control.</t>
  </si>
  <si>
    <t xml:space="preserve">Addition of cover sheet. </t>
  </si>
  <si>
    <t>Addition of releae notes.</t>
  </si>
  <si>
    <t>Version 0.2</t>
  </si>
  <si>
    <t>Version 0.1</t>
  </si>
  <si>
    <t>2) Cross checking totals in the tables in RB31-33 total 999.99 as opposed to 1000.00. This is thought to be due to internal rounding differences and not consequential.</t>
  </si>
  <si>
    <t>Scratch version of test cases.</t>
  </si>
  <si>
    <t>Version 0.3</t>
  </si>
  <si>
    <t>Scratch version of test cases</t>
  </si>
  <si>
    <t>Scenario: Reversed payment 1 week ago and reapplied bigger</t>
  </si>
  <si>
    <t>Scenario: Reversed payment 1 week ago and not reapplied</t>
  </si>
  <si>
    <t>Scenario: Reversed payment 1 week ago and reapplied smaller</t>
  </si>
  <si>
    <t>Payment is early and less than required</t>
  </si>
  <si>
    <t>Payment is early and more than required</t>
  </si>
  <si>
    <t>Payment is early and correct</t>
  </si>
  <si>
    <t>Payment is backdated 1 day and backdate is ontime</t>
  </si>
  <si>
    <t>Payment is backdated 1 day and backdate is late</t>
  </si>
  <si>
    <t>Payment is backdated 1 day and backdate is early</t>
  </si>
  <si>
    <t>Payment is backdated 1 week and backdate is ontime</t>
  </si>
  <si>
    <t>Payment is backdated 6 weeks and backdate is ontime</t>
  </si>
  <si>
    <t>Payment is backdated 6 weeks and backdate is late</t>
  </si>
  <si>
    <t>Whole loan is paid ontime without issue</t>
  </si>
  <si>
    <t>Whole loan is paid, 2 payments are early</t>
  </si>
  <si>
    <t>Whole loan is paid, 2 payments are late</t>
  </si>
  <si>
    <t>Loan Redo to lengthen loan from 4 installements to 6 after the first payment</t>
  </si>
  <si>
    <t>Loan Redo to shortened loan from 4 installments to 2 further payments after the first payment</t>
  </si>
  <si>
    <t>First payment is ontime and correct, second payment is more and early, then lengthen loan to 5 payments</t>
  </si>
  <si>
    <t>Partial Payments - one early one is late - total is less</t>
  </si>
  <si>
    <t>Partial Payments - one early one is late - total is more</t>
  </si>
  <si>
    <t>Partial Payments - one early one is late - total is correct</t>
  </si>
  <si>
    <t>Partial Payments - both early</t>
  </si>
  <si>
    <t>Partial Payments - both late - total is less</t>
  </si>
  <si>
    <t>Reversed payment 1 week ago and reapplied smaller</t>
  </si>
  <si>
    <t>Reversed payment 1 week ago and reapplied bigger</t>
  </si>
  <si>
    <t>Reversed payment 1 week ago and not reapplied</t>
  </si>
  <si>
    <t>Payment is more than 1 month late</t>
  </si>
  <si>
    <t>Negative payment amount</t>
  </si>
  <si>
    <t>Payment falls on holiday and the payment is made on the holiday.</t>
  </si>
  <si>
    <t>Future date a payment</t>
  </si>
  <si>
    <t>Last payment is less</t>
  </si>
  <si>
    <t>Add in a manual fee to the account and verify that the fees are collected, then interest and then principle</t>
  </si>
  <si>
    <t>Payment is ontime but more than the outstanding balance - Error Case</t>
  </si>
  <si>
    <t>Updated with GO comments</t>
  </si>
  <si>
    <t>Version 0.4</t>
  </si>
  <si>
    <t>Scenarios added to Results sheet.</t>
  </si>
  <si>
    <t>Typos corrected.</t>
  </si>
  <si>
    <t>Payment is late and less</t>
  </si>
  <si>
    <t>Payment is late and more</t>
  </si>
  <si>
    <t>Payment is late and correct</t>
  </si>
  <si>
    <t>RB42</t>
  </si>
  <si>
    <t>RB44</t>
  </si>
  <si>
    <t>RB45</t>
  </si>
  <si>
    <t>RB46</t>
  </si>
  <si>
    <t>RB47</t>
  </si>
  <si>
    <t>RB48</t>
  </si>
  <si>
    <t>RB49</t>
  </si>
  <si>
    <t>moratorium- schedule interest unchanged if payment made on new installment date</t>
  </si>
</sst>
</file>

<file path=xl/styles.xml><?xml version="1.0" encoding="utf-8"?>
<styleSheet xmlns="http://schemas.openxmlformats.org/spreadsheetml/2006/main">
  <numFmts count="7">
    <numFmt numFmtId="41" formatCode="_-* #,##0_-;\-* #,##0_-;_-* &quot;-&quot;_-;_-@_-"/>
    <numFmt numFmtId="43" formatCode="_-* #,##0.00_-;\-* #,##0.00_-;_-* &quot;-&quot;??_-;_-@_-"/>
    <numFmt numFmtId="164" formatCode="_-* #,##0.000000_-;\-* #,##0.000000_-;_-* &quot;-&quot;??_-;_-@_-"/>
    <numFmt numFmtId="165" formatCode="_-* #,##0_-;\-* #,##0_-;_-* &quot;-&quot;??_-;_-@_-"/>
    <numFmt numFmtId="166" formatCode="_-* #,##0.0000_-;\-* #,##0.0000_-;_-* &quot;-&quot;??_-;_-@_-"/>
    <numFmt numFmtId="167" formatCode="_-* #,##0.00000_-;\-* #,##0.00000_-;_-* &quot;-&quot;??_-;_-@_-"/>
    <numFmt numFmtId="168" formatCode="dd\ mmmm\ yyyy"/>
  </numFmts>
  <fonts count="19">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b/>
      <i/>
      <sz val="11"/>
      <color theme="1"/>
      <name val="Calibri"/>
      <family val="2"/>
      <scheme val="minor"/>
    </font>
    <font>
      <b/>
      <sz val="8"/>
      <color theme="1"/>
      <name val="Arial"/>
      <family val="2"/>
    </font>
    <font>
      <sz val="8"/>
      <color theme="1"/>
      <name val="Arial"/>
      <family val="2"/>
    </font>
    <font>
      <sz val="8"/>
      <color theme="1"/>
      <name val="Cambria"/>
      <family val="1"/>
    </font>
    <font>
      <b/>
      <sz val="10"/>
      <color theme="1"/>
      <name val="Times New Roman"/>
      <family val="1"/>
    </font>
    <font>
      <sz val="10"/>
      <color theme="1"/>
      <name val="Times New Roman"/>
      <family val="1"/>
    </font>
    <font>
      <b/>
      <sz val="14"/>
      <color theme="1"/>
      <name val="Times New Roman"/>
      <family val="1"/>
    </font>
    <font>
      <sz val="10"/>
      <name val="Arial"/>
    </font>
    <font>
      <b/>
      <sz val="12"/>
      <name val="Times New Roman"/>
      <family val="1"/>
    </font>
    <font>
      <b/>
      <sz val="10"/>
      <name val="Times New Roman"/>
      <family val="1"/>
    </font>
    <font>
      <sz val="10"/>
      <name val="Times New Roman"/>
      <family val="1"/>
    </font>
    <font>
      <sz val="8"/>
      <name val="Times New Roman"/>
      <family val="1"/>
    </font>
    <font>
      <b/>
      <sz val="16"/>
      <name val="Times New Roman"/>
      <family val="1"/>
    </font>
    <font>
      <b/>
      <sz val="14"/>
      <name val="Times New Roman"/>
      <family val="1"/>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theme="0" tint="-4.9989318521683403E-2"/>
        <bgColor indexed="64"/>
      </patternFill>
    </fill>
    <fill>
      <patternFill patternType="solid">
        <fgColor indexed="47"/>
        <bgColor indexed="64"/>
      </patternFill>
    </fill>
    <fill>
      <patternFill patternType="solid">
        <fgColor indexed="22"/>
        <bgColor indexed="64"/>
      </patternFill>
    </fill>
  </fills>
  <borders count="23">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2" fillId="0" borderId="0"/>
    <xf numFmtId="0" fontId="14" fillId="0" borderId="0">
      <alignment horizontal="left" vertical="top"/>
    </xf>
    <xf numFmtId="0" fontId="17" fillId="0" borderId="0">
      <alignment horizontal="right" vertical="top"/>
    </xf>
    <xf numFmtId="0" fontId="17" fillId="0" borderId="0">
      <alignment horizontal="left" vertical="top" wrapText="1"/>
    </xf>
    <xf numFmtId="0" fontId="18" fillId="0" borderId="0">
      <alignment horizontal="left" vertical="top" wrapText="1"/>
    </xf>
    <xf numFmtId="0" fontId="15" fillId="0" borderId="0">
      <alignment horizontal="left" vertical="top" indent="2"/>
    </xf>
  </cellStyleXfs>
  <cellXfs count="221">
    <xf numFmtId="0" fontId="0" fillId="0" borderId="0" xfId="0"/>
    <xf numFmtId="4" fontId="0" fillId="0" borderId="0" xfId="0" applyNumberFormat="1"/>
    <xf numFmtId="0" fontId="2" fillId="0" borderId="0" xfId="0" applyFont="1"/>
    <xf numFmtId="9" fontId="0" fillId="0" borderId="0" xfId="0" applyNumberFormat="1"/>
    <xf numFmtId="43" fontId="0" fillId="0" borderId="0" xfId="1" applyFont="1"/>
    <xf numFmtId="0" fontId="0" fillId="0" borderId="2" xfId="0" applyBorder="1"/>
    <xf numFmtId="0" fontId="2" fillId="0" borderId="3" xfId="0" applyFont="1" applyBorder="1" applyAlignment="1">
      <alignment horizontal="center"/>
    </xf>
    <xf numFmtId="0" fontId="2" fillId="0" borderId="5" xfId="0" applyFont="1" applyBorder="1" applyAlignment="1">
      <alignment horizontal="center"/>
    </xf>
    <xf numFmtId="4" fontId="2" fillId="0" borderId="5" xfId="0" applyNumberFormat="1" applyFont="1" applyBorder="1" applyAlignment="1">
      <alignment horizontal="center"/>
    </xf>
    <xf numFmtId="0" fontId="2" fillId="0" borderId="1" xfId="0" applyFont="1" applyBorder="1" applyAlignment="1">
      <alignment horizontal="center"/>
    </xf>
    <xf numFmtId="43" fontId="0" fillId="0" borderId="2" xfId="1" applyFont="1" applyBorder="1" applyAlignment="1">
      <alignment horizontal="center"/>
    </xf>
    <xf numFmtId="0" fontId="0" fillId="0" borderId="4" xfId="0" applyBorder="1" applyAlignment="1">
      <alignment horizontal="center"/>
    </xf>
    <xf numFmtId="43" fontId="0" fillId="0" borderId="4" xfId="1" applyFont="1" applyBorder="1" applyAlignment="1">
      <alignment horizontal="center"/>
    </xf>
    <xf numFmtId="43" fontId="0" fillId="0" borderId="0" xfId="1" applyFont="1" applyAlignment="1">
      <alignment horizontal="center"/>
    </xf>
    <xf numFmtId="0" fontId="0" fillId="0" borderId="0" xfId="0" applyAlignment="1">
      <alignment horizontal="center"/>
    </xf>
    <xf numFmtId="4" fontId="0" fillId="0" borderId="0" xfId="0" applyNumberFormat="1" applyAlignment="1">
      <alignment horizontal="center"/>
    </xf>
    <xf numFmtId="0" fontId="2" fillId="0" borderId="2" xfId="0" applyFont="1" applyBorder="1"/>
    <xf numFmtId="0" fontId="2" fillId="0" borderId="2" xfId="0" applyFont="1" applyBorder="1" applyAlignment="1">
      <alignment horizontal="center"/>
    </xf>
    <xf numFmtId="0" fontId="2" fillId="0" borderId="4" xfId="0" applyFont="1" applyBorder="1" applyAlignment="1">
      <alignment horizontal="center"/>
    </xf>
    <xf numFmtId="43" fontId="2" fillId="0" borderId="4" xfId="1" applyFont="1" applyBorder="1" applyAlignment="1">
      <alignment horizontal="center"/>
    </xf>
    <xf numFmtId="0" fontId="2" fillId="0" borderId="3" xfId="0" applyFont="1" applyBorder="1"/>
    <xf numFmtId="15" fontId="0" fillId="0" borderId="0" xfId="0" applyNumberFormat="1"/>
    <xf numFmtId="0" fontId="4" fillId="0" borderId="0" xfId="0" applyFont="1"/>
    <xf numFmtId="164" fontId="0" fillId="0" borderId="0" xfId="0" applyNumberFormat="1"/>
    <xf numFmtId="0" fontId="0" fillId="2" borderId="0" xfId="0" applyFill="1"/>
    <xf numFmtId="43" fontId="0" fillId="0" borderId="0" xfId="0" applyNumberFormat="1"/>
    <xf numFmtId="0" fontId="0" fillId="3" borderId="0" xfId="0" applyFill="1"/>
    <xf numFmtId="0" fontId="0" fillId="0" borderId="6" xfId="0" applyBorder="1"/>
    <xf numFmtId="43" fontId="0" fillId="0" borderId="6" xfId="1" applyFont="1" applyBorder="1"/>
    <xf numFmtId="15" fontId="0" fillId="0" borderId="6" xfId="0" applyNumberFormat="1" applyBorder="1"/>
    <xf numFmtId="43" fontId="0" fillId="0" borderId="6" xfId="0" applyNumberFormat="1" applyBorder="1"/>
    <xf numFmtId="3" fontId="0" fillId="0" borderId="6" xfId="0" applyNumberFormat="1" applyBorder="1"/>
    <xf numFmtId="0" fontId="2" fillId="0" borderId="6" xfId="0" applyFont="1" applyBorder="1"/>
    <xf numFmtId="43" fontId="2" fillId="0" borderId="6" xfId="1" applyFont="1" applyBorder="1"/>
    <xf numFmtId="3" fontId="0" fillId="0" borderId="0" xfId="0" applyNumberFormat="1"/>
    <xf numFmtId="165" fontId="0" fillId="0" borderId="6" xfId="0" applyNumberFormat="1" applyBorder="1"/>
    <xf numFmtId="165" fontId="0" fillId="3" borderId="0" xfId="0" applyNumberFormat="1" applyFill="1"/>
    <xf numFmtId="165" fontId="0" fillId="3" borderId="0" xfId="1" applyNumberFormat="1" applyFont="1" applyFill="1"/>
    <xf numFmtId="165" fontId="0" fillId="0" borderId="0" xfId="0" applyNumberFormat="1"/>
    <xf numFmtId="0" fontId="0" fillId="0" borderId="6" xfId="0" applyFill="1" applyBorder="1"/>
    <xf numFmtId="15" fontId="0" fillId="2" borderId="0" xfId="0" applyNumberFormat="1" applyFill="1"/>
    <xf numFmtId="0" fontId="2" fillId="0" borderId="6" xfId="0" applyFont="1" applyBorder="1" applyAlignment="1">
      <alignment horizontal="center"/>
    </xf>
    <xf numFmtId="3" fontId="2" fillId="0" borderId="6" xfId="0" applyNumberFormat="1" applyFont="1" applyBorder="1" applyAlignment="1">
      <alignment horizontal="center"/>
    </xf>
    <xf numFmtId="3" fontId="2" fillId="0" borderId="6" xfId="0" applyNumberFormat="1" applyFont="1" applyFill="1" applyBorder="1" applyAlignment="1">
      <alignment horizontal="center"/>
    </xf>
    <xf numFmtId="10" fontId="5" fillId="0" borderId="6" xfId="0" applyNumberFormat="1" applyFont="1" applyBorder="1"/>
    <xf numFmtId="165" fontId="2" fillId="0" borderId="6" xfId="0" applyNumberFormat="1" applyFont="1" applyFill="1" applyBorder="1" applyAlignment="1">
      <alignment horizontal="center"/>
    </xf>
    <xf numFmtId="43" fontId="0" fillId="0" borderId="6" xfId="1" applyFont="1" applyBorder="1" applyAlignment="1">
      <alignment horizontal="center"/>
    </xf>
    <xf numFmtId="3" fontId="0" fillId="0" borderId="6" xfId="1" applyNumberFormat="1" applyFont="1" applyBorder="1"/>
    <xf numFmtId="3" fontId="0" fillId="0" borderId="6" xfId="1" applyNumberFormat="1" applyFont="1" applyBorder="1" applyAlignment="1">
      <alignment horizontal="center"/>
    </xf>
    <xf numFmtId="165" fontId="0" fillId="0" borderId="6" xfId="1" applyNumberFormat="1" applyFont="1" applyBorder="1"/>
    <xf numFmtId="43" fontId="2" fillId="0" borderId="6" xfId="0" applyNumberFormat="1" applyFont="1" applyBorder="1" applyAlignment="1">
      <alignment horizontal="center"/>
    </xf>
    <xf numFmtId="3" fontId="2" fillId="0" borderId="6" xfId="1" applyNumberFormat="1" applyFont="1" applyBorder="1"/>
    <xf numFmtId="3" fontId="2" fillId="0" borderId="6" xfId="1" applyNumberFormat="1" applyFont="1" applyFill="1" applyBorder="1" applyAlignment="1">
      <alignment horizontal="center"/>
    </xf>
    <xf numFmtId="3" fontId="2" fillId="0" borderId="6" xfId="1" applyNumberFormat="1" applyFont="1" applyBorder="1" applyAlignment="1">
      <alignment horizontal="center"/>
    </xf>
    <xf numFmtId="4" fontId="2" fillId="0" borderId="6" xfId="0" applyNumberFormat="1" applyFont="1" applyBorder="1" applyAlignment="1">
      <alignment horizontal="center"/>
    </xf>
    <xf numFmtId="10" fontId="3" fillId="0" borderId="6" xfId="0" applyNumberFormat="1" applyFont="1" applyBorder="1"/>
    <xf numFmtId="10" fontId="2" fillId="0" borderId="6" xfId="0" applyNumberFormat="1" applyFont="1" applyBorder="1"/>
    <xf numFmtId="165" fontId="2" fillId="0" borderId="6" xfId="0" applyNumberFormat="1" applyFont="1" applyBorder="1" applyAlignment="1">
      <alignment horizontal="center"/>
    </xf>
    <xf numFmtId="3" fontId="2" fillId="2" borderId="6" xfId="1" applyNumberFormat="1" applyFont="1" applyFill="1" applyBorder="1" applyAlignment="1">
      <alignment horizontal="center"/>
    </xf>
    <xf numFmtId="0" fontId="0" fillId="0" borderId="7" xfId="0" applyBorder="1"/>
    <xf numFmtId="15" fontId="0" fillId="0" borderId="7" xfId="0" applyNumberFormat="1" applyBorder="1"/>
    <xf numFmtId="43" fontId="0" fillId="0" borderId="7" xfId="1" applyFont="1" applyBorder="1" applyAlignment="1">
      <alignment horizontal="center"/>
    </xf>
    <xf numFmtId="3" fontId="0" fillId="0" borderId="7" xfId="1" applyNumberFormat="1" applyFont="1" applyBorder="1" applyAlignment="1">
      <alignment horizontal="center"/>
    </xf>
    <xf numFmtId="165" fontId="0" fillId="0" borderId="7" xfId="0" applyNumberFormat="1" applyBorder="1"/>
    <xf numFmtId="0" fontId="2" fillId="0" borderId="5" xfId="0" applyFont="1" applyBorder="1"/>
    <xf numFmtId="43" fontId="2" fillId="0" borderId="5" xfId="0" applyNumberFormat="1" applyFont="1" applyBorder="1" applyAlignment="1">
      <alignment horizontal="center"/>
    </xf>
    <xf numFmtId="3" fontId="2" fillId="0" borderId="5" xfId="1" applyNumberFormat="1" applyFont="1" applyBorder="1" applyAlignment="1">
      <alignment horizontal="center"/>
    </xf>
    <xf numFmtId="0" fontId="0" fillId="0" borderId="5" xfId="0" applyBorder="1"/>
    <xf numFmtId="165" fontId="0" fillId="0" borderId="5" xfId="0" applyNumberFormat="1" applyBorder="1"/>
    <xf numFmtId="1" fontId="0" fillId="0" borderId="0" xfId="0" applyNumberFormat="1"/>
    <xf numFmtId="0" fontId="2" fillId="0" borderId="0" xfId="0" applyFont="1" applyBorder="1"/>
    <xf numFmtId="0" fontId="2" fillId="0" borderId="0" xfId="0" applyFont="1" applyBorder="1" applyAlignment="1">
      <alignment horizontal="center"/>
    </xf>
    <xf numFmtId="4" fontId="0" fillId="0" borderId="6" xfId="0" applyNumberFormat="1" applyBorder="1"/>
    <xf numFmtId="1" fontId="0" fillId="0" borderId="6" xfId="1" applyNumberFormat="1" applyFont="1" applyBorder="1"/>
    <xf numFmtId="1" fontId="0" fillId="0" borderId="6" xfId="0" applyNumberFormat="1" applyBorder="1"/>
    <xf numFmtId="2" fontId="0" fillId="3" borderId="0" xfId="0" applyNumberFormat="1" applyFill="1"/>
    <xf numFmtId="3" fontId="2" fillId="0" borderId="6" xfId="0" applyNumberFormat="1" applyFont="1" applyBorder="1"/>
    <xf numFmtId="43" fontId="2" fillId="0" borderId="6" xfId="1" applyFont="1" applyBorder="1" applyAlignment="1">
      <alignment horizontal="center"/>
    </xf>
    <xf numFmtId="166" fontId="0" fillId="0" borderId="6" xfId="1" applyNumberFormat="1" applyFont="1" applyBorder="1"/>
    <xf numFmtId="3" fontId="2" fillId="0" borderId="0" xfId="0" applyNumberFormat="1" applyFont="1"/>
    <xf numFmtId="167" fontId="0" fillId="0" borderId="6" xfId="1" applyNumberFormat="1" applyFont="1" applyBorder="1"/>
    <xf numFmtId="164" fontId="0" fillId="0" borderId="6" xfId="1" applyNumberFormat="1" applyFont="1" applyBorder="1"/>
    <xf numFmtId="3" fontId="0" fillId="0" borderId="6" xfId="1" applyNumberFormat="1" applyFont="1" applyFill="1" applyBorder="1"/>
    <xf numFmtId="3" fontId="0" fillId="0" borderId="6" xfId="1" applyNumberFormat="1" applyFont="1" applyFill="1" applyBorder="1" applyAlignment="1">
      <alignment horizontal="center"/>
    </xf>
    <xf numFmtId="3" fontId="2" fillId="0" borderId="6" xfId="1" applyNumberFormat="1" applyFont="1" applyFill="1" applyBorder="1"/>
    <xf numFmtId="0" fontId="0" fillId="0" borderId="0" xfId="0" applyAlignment="1">
      <alignment wrapText="1"/>
    </xf>
    <xf numFmtId="0" fontId="6" fillId="4" borderId="8" xfId="0" applyFont="1" applyFill="1" applyBorder="1" applyAlignment="1">
      <alignment horizontal="center" vertical="top" wrapText="1"/>
    </xf>
    <xf numFmtId="0" fontId="6" fillId="4" borderId="9" xfId="0" applyFont="1" applyFill="1" applyBorder="1" applyAlignment="1">
      <alignment horizontal="center" vertical="top" wrapText="1"/>
    </xf>
    <xf numFmtId="43" fontId="6" fillId="4" borderId="9" xfId="1" applyFont="1" applyFill="1" applyBorder="1" applyAlignment="1">
      <alignment horizontal="center" vertical="top" wrapText="1"/>
    </xf>
    <xf numFmtId="0" fontId="6" fillId="4" borderId="10" xfId="0" applyFont="1" applyFill="1" applyBorder="1" applyAlignment="1">
      <alignment horizontal="center" vertical="top" wrapText="1"/>
    </xf>
    <xf numFmtId="0" fontId="6" fillId="4" borderId="6" xfId="0" applyFont="1" applyFill="1" applyBorder="1" applyAlignment="1">
      <alignment horizontal="center" vertical="top" wrapText="1"/>
    </xf>
    <xf numFmtId="43" fontId="6" fillId="4" borderId="6" xfId="1" applyFont="1" applyFill="1" applyBorder="1" applyAlignment="1">
      <alignment horizontal="center" vertical="top" wrapText="1"/>
    </xf>
    <xf numFmtId="0" fontId="7" fillId="4" borderId="11" xfId="0" applyFont="1" applyFill="1" applyBorder="1" applyAlignment="1">
      <alignment horizontal="center" wrapText="1"/>
    </xf>
    <xf numFmtId="15" fontId="7" fillId="4" borderId="12" xfId="0" applyNumberFormat="1" applyFont="1" applyFill="1" applyBorder="1" applyAlignment="1">
      <alignment horizontal="center" wrapText="1"/>
    </xf>
    <xf numFmtId="0" fontId="7" fillId="4" borderId="8" xfId="0" applyFont="1" applyFill="1" applyBorder="1" applyAlignment="1">
      <alignment horizontal="center" wrapText="1"/>
    </xf>
    <xf numFmtId="43" fontId="7" fillId="4" borderId="12" xfId="1" applyFont="1" applyFill="1" applyBorder="1" applyAlignment="1">
      <alignment horizontal="center" wrapText="1"/>
    </xf>
    <xf numFmtId="43" fontId="7" fillId="4" borderId="8" xfId="0" applyNumberFormat="1" applyFont="1" applyFill="1" applyBorder="1" applyAlignment="1">
      <alignment horizontal="center" wrapText="1"/>
    </xf>
    <xf numFmtId="1" fontId="7" fillId="4" borderId="0" xfId="0" applyNumberFormat="1" applyFont="1" applyFill="1" applyBorder="1" applyAlignment="1">
      <alignment horizontal="center" wrapText="1"/>
    </xf>
    <xf numFmtId="14" fontId="0" fillId="0" borderId="0" xfId="0" applyNumberFormat="1"/>
    <xf numFmtId="0" fontId="8" fillId="0" borderId="0" xfId="0" applyFont="1"/>
    <xf numFmtId="0" fontId="0" fillId="0" borderId="6" xfId="0" applyBorder="1" applyAlignment="1">
      <alignment wrapText="1"/>
    </xf>
    <xf numFmtId="0" fontId="0" fillId="2" borderId="6" xfId="0" applyFill="1" applyBorder="1"/>
    <xf numFmtId="165" fontId="0" fillId="0" borderId="6" xfId="1" applyNumberFormat="1" applyFont="1" applyBorder="1" applyAlignment="1">
      <alignment horizontal="center"/>
    </xf>
    <xf numFmtId="0" fontId="0" fillId="0" borderId="0" xfId="0" applyAlignment="1">
      <alignment horizontal="left"/>
    </xf>
    <xf numFmtId="0" fontId="2" fillId="0" borderId="0" xfId="0" applyFont="1" applyAlignment="1">
      <alignment horizontal="center"/>
    </xf>
    <xf numFmtId="0" fontId="0" fillId="0" borderId="0" xfId="0" applyFill="1" applyAlignment="1">
      <alignment horizontal="center"/>
    </xf>
    <xf numFmtId="0" fontId="0" fillId="0" borderId="0" xfId="0" applyFill="1"/>
    <xf numFmtId="43" fontId="0" fillId="0" borderId="0" xfId="1" applyFont="1" applyFill="1"/>
    <xf numFmtId="0" fontId="6" fillId="0" borderId="0" xfId="0" applyFont="1" applyFill="1" applyBorder="1" applyAlignment="1">
      <alignment horizontal="center" vertical="top" wrapText="1"/>
    </xf>
    <xf numFmtId="43" fontId="7" fillId="0" borderId="0" xfId="1" applyFont="1" applyFill="1" applyBorder="1" applyAlignment="1">
      <alignment horizontal="center" wrapText="1"/>
    </xf>
    <xf numFmtId="0" fontId="7" fillId="0" borderId="0" xfId="0" applyFont="1" applyFill="1" applyBorder="1" applyAlignment="1">
      <alignment horizontal="center" wrapText="1"/>
    </xf>
    <xf numFmtId="15" fontId="7" fillId="0" borderId="0" xfId="0" applyNumberFormat="1" applyFont="1" applyFill="1" applyBorder="1" applyAlignment="1">
      <alignment horizontal="center" wrapText="1"/>
    </xf>
    <xf numFmtId="43" fontId="7" fillId="0" borderId="0" xfId="0" applyNumberFormat="1" applyFont="1" applyFill="1" applyBorder="1" applyAlignment="1">
      <alignment horizontal="center" wrapText="1"/>
    </xf>
    <xf numFmtId="0" fontId="0" fillId="0" borderId="0" xfId="0" applyFill="1" applyBorder="1"/>
    <xf numFmtId="43" fontId="0" fillId="0" borderId="0" xfId="1" applyFont="1" applyFill="1" applyBorder="1"/>
    <xf numFmtId="43" fontId="7" fillId="4" borderId="11" xfId="0" applyNumberFormat="1" applyFont="1" applyFill="1" applyBorder="1" applyAlignment="1">
      <alignment horizontal="center" wrapText="1"/>
    </xf>
    <xf numFmtId="0" fontId="0" fillId="0" borderId="0" xfId="0" applyFill="1" applyBorder="1" applyAlignment="1">
      <alignment horizontal="center"/>
    </xf>
    <xf numFmtId="0" fontId="2" fillId="0" borderId="0" xfId="0" applyFont="1" applyFill="1" applyBorder="1"/>
    <xf numFmtId="14" fontId="0" fillId="0" borderId="0" xfId="0" applyNumberFormat="1" applyFill="1" applyBorder="1"/>
    <xf numFmtId="43" fontId="0" fillId="0" borderId="0" xfId="0" applyNumberFormat="1" applyFill="1" applyBorder="1"/>
    <xf numFmtId="43" fontId="6" fillId="4" borderId="10" xfId="1" applyFont="1" applyFill="1" applyBorder="1" applyAlignment="1">
      <alignment horizontal="center" vertical="top" wrapText="1"/>
    </xf>
    <xf numFmtId="43" fontId="7" fillId="4" borderId="13" xfId="1" applyFont="1" applyFill="1" applyBorder="1" applyAlignment="1">
      <alignment horizontal="center" wrapText="1"/>
    </xf>
    <xf numFmtId="43" fontId="7" fillId="4" borderId="9" xfId="0" applyNumberFormat="1" applyFont="1" applyFill="1" applyBorder="1" applyAlignment="1">
      <alignment horizontal="center" wrapText="1"/>
    </xf>
    <xf numFmtId="0" fontId="10" fillId="0" borderId="0" xfId="0" applyFont="1"/>
    <xf numFmtId="0" fontId="10" fillId="0" borderId="6" xfId="0" applyFont="1" applyBorder="1"/>
    <xf numFmtId="0" fontId="10" fillId="0" borderId="6" xfId="0" applyFont="1" applyBorder="1" applyAlignment="1">
      <alignment horizontal="center"/>
    </xf>
    <xf numFmtId="0" fontId="10" fillId="0" borderId="6" xfId="0" applyFont="1" applyFill="1" applyBorder="1" applyAlignment="1">
      <alignment horizontal="center"/>
    </xf>
    <xf numFmtId="0" fontId="10" fillId="0" borderId="0" xfId="0" applyFont="1" applyFill="1" applyBorder="1"/>
    <xf numFmtId="0" fontId="10" fillId="0" borderId="0" xfId="0" applyFont="1" applyFill="1" applyAlignment="1">
      <alignment horizontal="center"/>
    </xf>
    <xf numFmtId="0" fontId="9" fillId="0" borderId="0" xfId="0" applyFont="1" applyFill="1" applyBorder="1" applyAlignment="1">
      <alignment horizontal="center" vertical="top" wrapText="1"/>
    </xf>
    <xf numFmtId="14" fontId="10" fillId="0" borderId="0" xfId="0" applyNumberFormat="1" applyFont="1" applyFill="1" applyBorder="1"/>
    <xf numFmtId="0" fontId="10" fillId="0" borderId="0" xfId="0" applyFont="1" applyAlignment="1">
      <alignment horizontal="center"/>
    </xf>
    <xf numFmtId="0" fontId="11" fillId="0" borderId="0" xfId="0" applyFont="1"/>
    <xf numFmtId="0" fontId="0" fillId="5" borderId="0" xfId="0" applyFill="1" applyAlignment="1">
      <alignment horizontal="center"/>
    </xf>
    <xf numFmtId="0" fontId="0" fillId="5" borderId="0" xfId="0" applyFill="1"/>
    <xf numFmtId="43" fontId="0" fillId="5" borderId="0" xfId="1" applyFont="1" applyFill="1"/>
    <xf numFmtId="0" fontId="6" fillId="5" borderId="8" xfId="0" applyFont="1" applyFill="1" applyBorder="1" applyAlignment="1">
      <alignment horizontal="center" vertical="top" wrapText="1"/>
    </xf>
    <xf numFmtId="0" fontId="6" fillId="5" borderId="9" xfId="0" applyFont="1" applyFill="1" applyBorder="1" applyAlignment="1">
      <alignment horizontal="center" vertical="top" wrapText="1"/>
    </xf>
    <xf numFmtId="43" fontId="6" fillId="5" borderId="9" xfId="1" applyFont="1" applyFill="1" applyBorder="1" applyAlignment="1">
      <alignment horizontal="center" vertical="top" wrapText="1"/>
    </xf>
    <xf numFmtId="0" fontId="6" fillId="5" borderId="10" xfId="0" applyFont="1" applyFill="1" applyBorder="1" applyAlignment="1">
      <alignment horizontal="center" vertical="top" wrapText="1"/>
    </xf>
    <xf numFmtId="0" fontId="6" fillId="5" borderId="6" xfId="0" applyFont="1" applyFill="1" applyBorder="1" applyAlignment="1">
      <alignment horizontal="center" vertical="top" wrapText="1"/>
    </xf>
    <xf numFmtId="43" fontId="6" fillId="5" borderId="6" xfId="1" applyFont="1" applyFill="1" applyBorder="1" applyAlignment="1">
      <alignment horizontal="center" vertical="top" wrapText="1"/>
    </xf>
    <xf numFmtId="1" fontId="7" fillId="5" borderId="0" xfId="0" applyNumberFormat="1" applyFont="1" applyFill="1" applyBorder="1" applyAlignment="1">
      <alignment horizontal="center" wrapText="1"/>
    </xf>
    <xf numFmtId="0" fontId="7" fillId="5" borderId="11" xfId="0" applyFont="1" applyFill="1" applyBorder="1" applyAlignment="1">
      <alignment horizontal="center" wrapText="1"/>
    </xf>
    <xf numFmtId="15" fontId="7" fillId="5" borderId="12" xfId="0" applyNumberFormat="1" applyFont="1" applyFill="1" applyBorder="1" applyAlignment="1">
      <alignment horizontal="center" wrapText="1"/>
    </xf>
    <xf numFmtId="43" fontId="7" fillId="5" borderId="8" xfId="0" applyNumberFormat="1" applyFont="1" applyFill="1" applyBorder="1" applyAlignment="1">
      <alignment horizontal="center" wrapText="1"/>
    </xf>
    <xf numFmtId="43" fontId="7" fillId="5" borderId="12" xfId="1" applyFont="1" applyFill="1" applyBorder="1" applyAlignment="1">
      <alignment horizontal="center" wrapText="1"/>
    </xf>
    <xf numFmtId="0" fontId="0" fillId="5" borderId="6" xfId="0" applyFill="1" applyBorder="1"/>
    <xf numFmtId="43" fontId="0" fillId="5" borderId="6" xfId="1" applyFont="1" applyFill="1" applyBorder="1"/>
    <xf numFmtId="14" fontId="0" fillId="5" borderId="0" xfId="0" applyNumberFormat="1" applyFill="1"/>
    <xf numFmtId="43" fontId="7" fillId="5" borderId="11" xfId="0" applyNumberFormat="1" applyFont="1" applyFill="1" applyBorder="1" applyAlignment="1">
      <alignment horizontal="center" wrapText="1"/>
    </xf>
    <xf numFmtId="0" fontId="8" fillId="5" borderId="0" xfId="0" applyFont="1" applyFill="1"/>
    <xf numFmtId="0" fontId="0" fillId="5" borderId="0" xfId="0" applyFill="1" applyBorder="1" applyAlignment="1">
      <alignment horizontal="center"/>
    </xf>
    <xf numFmtId="0" fontId="0" fillId="5" borderId="0" xfId="0" applyFill="1" applyBorder="1"/>
    <xf numFmtId="43" fontId="7" fillId="5" borderId="0" xfId="1" applyFont="1" applyFill="1" applyBorder="1" applyAlignment="1">
      <alignment horizontal="center" wrapText="1"/>
    </xf>
    <xf numFmtId="0" fontId="6" fillId="5" borderId="0" xfId="0" applyFont="1" applyFill="1" applyBorder="1" applyAlignment="1">
      <alignment horizontal="center" vertical="top" wrapText="1"/>
    </xf>
    <xf numFmtId="14" fontId="0" fillId="5" borderId="0" xfId="0" applyNumberFormat="1" applyFill="1" applyBorder="1"/>
    <xf numFmtId="43" fontId="0" fillId="5" borderId="0" xfId="0" applyNumberFormat="1" applyFill="1"/>
    <xf numFmtId="0" fontId="7" fillId="5" borderId="0" xfId="0" applyFont="1" applyFill="1" applyBorder="1" applyAlignment="1">
      <alignment horizontal="center" wrapText="1"/>
    </xf>
    <xf numFmtId="15" fontId="7" fillId="5" borderId="0" xfId="0" applyNumberFormat="1" applyFont="1" applyFill="1" applyBorder="1" applyAlignment="1">
      <alignment horizontal="center" wrapText="1"/>
    </xf>
    <xf numFmtId="43" fontId="7" fillId="5" borderId="0" xfId="0" applyNumberFormat="1" applyFont="1" applyFill="1" applyBorder="1" applyAlignment="1">
      <alignment horizontal="center" wrapText="1"/>
    </xf>
    <xf numFmtId="43" fontId="0" fillId="5" borderId="0" xfId="0" applyNumberFormat="1" applyFill="1" applyBorder="1"/>
    <xf numFmtId="1" fontId="0" fillId="5" borderId="6" xfId="0" applyNumberFormat="1" applyFill="1" applyBorder="1"/>
    <xf numFmtId="41" fontId="0" fillId="5" borderId="6" xfId="0" applyNumberFormat="1" applyFill="1" applyBorder="1"/>
    <xf numFmtId="0" fontId="13" fillId="0" borderId="0" xfId="2" applyFont="1" applyFill="1" applyAlignment="1">
      <alignment horizontal="left" vertical="top"/>
    </xf>
    <xf numFmtId="0" fontId="14" fillId="0" borderId="0" xfId="2" applyFont="1" applyFill="1" applyAlignment="1">
      <alignment horizontal="left" vertical="top"/>
    </xf>
    <xf numFmtId="0" fontId="15" fillId="0" borderId="0" xfId="2" applyFont="1" applyFill="1" applyAlignment="1">
      <alignment horizontal="right" vertical="top"/>
    </xf>
    <xf numFmtId="0" fontId="15" fillId="0" borderId="0" xfId="2" applyFont="1" applyFill="1" applyAlignment="1">
      <alignment horizontal="left" vertical="top"/>
    </xf>
    <xf numFmtId="0" fontId="15" fillId="0" borderId="0" xfId="2" applyFont="1" applyFill="1" applyBorder="1" applyAlignment="1">
      <alignment horizontal="left" vertical="top"/>
    </xf>
    <xf numFmtId="0" fontId="15" fillId="0" borderId="13" xfId="2" applyFont="1" applyFill="1" applyBorder="1" applyAlignment="1">
      <alignment horizontal="left" vertical="top"/>
    </xf>
    <xf numFmtId="0" fontId="15" fillId="0" borderId="13" xfId="2" applyFont="1" applyFill="1" applyBorder="1" applyAlignment="1">
      <alignment horizontal="center" vertical="top"/>
    </xf>
    <xf numFmtId="0" fontId="15" fillId="0" borderId="14" xfId="2" applyFont="1" applyFill="1" applyBorder="1" applyAlignment="1">
      <alignment horizontal="left" vertical="top"/>
    </xf>
    <xf numFmtId="0" fontId="15" fillId="0" borderId="9" xfId="2" applyFont="1" applyFill="1" applyBorder="1" applyAlignment="1">
      <alignment horizontal="left" vertical="top"/>
    </xf>
    <xf numFmtId="0" fontId="15" fillId="0" borderId="10" xfId="2" applyFont="1" applyFill="1" applyBorder="1" applyAlignment="1">
      <alignment horizontal="left" vertical="top"/>
    </xf>
    <xf numFmtId="0" fontId="15" fillId="0" borderId="15" xfId="2" applyFont="1" applyFill="1" applyBorder="1" applyAlignment="1">
      <alignment horizontal="left" vertical="top"/>
    </xf>
    <xf numFmtId="49" fontId="15" fillId="6" borderId="16" xfId="2" applyNumberFormat="1" applyFont="1" applyFill="1" applyBorder="1" applyAlignment="1">
      <alignment horizontal="left" vertical="top"/>
    </xf>
    <xf numFmtId="0" fontId="15" fillId="0" borderId="16" xfId="2" applyFont="1" applyFill="1" applyBorder="1" applyAlignment="1">
      <alignment horizontal="left" vertical="top"/>
    </xf>
    <xf numFmtId="0" fontId="15" fillId="6" borderId="16" xfId="2" applyFont="1" applyFill="1" applyBorder="1" applyAlignment="1">
      <alignment horizontal="left" vertical="top" wrapText="1"/>
    </xf>
    <xf numFmtId="0" fontId="15" fillId="0" borderId="16" xfId="2" applyFont="1" applyFill="1" applyBorder="1" applyAlignment="1">
      <alignment vertical="top"/>
    </xf>
    <xf numFmtId="168" fontId="15" fillId="0" borderId="0" xfId="3" applyNumberFormat="1" applyFont="1" applyFill="1" applyAlignment="1">
      <alignment horizontal="left" vertical="top"/>
    </xf>
    <xf numFmtId="0" fontId="15" fillId="0" borderId="16" xfId="2" applyFont="1" applyFill="1" applyBorder="1" applyAlignment="1">
      <alignment horizontal="left" vertical="top" wrapText="1"/>
    </xf>
    <xf numFmtId="0" fontId="15" fillId="0" borderId="15" xfId="2" applyFont="1" applyFill="1" applyBorder="1" applyAlignment="1">
      <alignment horizontal="left" vertical="top" indent="2"/>
    </xf>
    <xf numFmtId="0" fontId="15" fillId="6" borderId="16" xfId="2" applyNumberFormat="1" applyFont="1" applyFill="1" applyBorder="1" applyAlignment="1">
      <alignment horizontal="left" vertical="top" wrapText="1"/>
    </xf>
    <xf numFmtId="0" fontId="15" fillId="0" borderId="17" xfId="2" applyFont="1" applyFill="1" applyBorder="1" applyAlignment="1">
      <alignment horizontal="left" vertical="top"/>
    </xf>
    <xf numFmtId="0" fontId="15" fillId="0" borderId="12" xfId="2" applyFont="1" applyFill="1" applyBorder="1" applyAlignment="1">
      <alignment horizontal="left" vertical="top"/>
    </xf>
    <xf numFmtId="168" fontId="15" fillId="6" borderId="16" xfId="2" applyNumberFormat="1" applyFont="1" applyFill="1" applyBorder="1" applyAlignment="1">
      <alignment horizontal="left" vertical="top" wrapText="1"/>
    </xf>
    <xf numFmtId="0" fontId="15" fillId="0" borderId="18" xfId="2" applyFont="1" applyFill="1" applyBorder="1" applyAlignment="1">
      <alignment horizontal="left" vertical="top"/>
    </xf>
    <xf numFmtId="0" fontId="15" fillId="0" borderId="19" xfId="2" applyFont="1" applyFill="1" applyBorder="1" applyAlignment="1">
      <alignment horizontal="left" vertical="top"/>
    </xf>
    <xf numFmtId="0" fontId="16" fillId="0" borderId="20" xfId="2" applyNumberFormat="1" applyFont="1" applyFill="1" applyBorder="1" applyAlignment="1">
      <alignment horizontal="left" vertical="top"/>
    </xf>
    <xf numFmtId="0" fontId="16" fillId="0" borderId="16" xfId="2" applyNumberFormat="1" applyFont="1" applyFill="1" applyBorder="1" applyAlignment="1">
      <alignment horizontal="left" vertical="top"/>
    </xf>
    <xf numFmtId="0" fontId="15" fillId="6" borderId="12" xfId="2" applyFont="1" applyFill="1" applyBorder="1" applyAlignment="1">
      <alignment horizontal="left" vertical="top" wrapText="1"/>
    </xf>
    <xf numFmtId="0" fontId="16" fillId="0" borderId="12" xfId="2" applyNumberFormat="1" applyFont="1" applyFill="1" applyBorder="1" applyAlignment="1">
      <alignment horizontal="left" vertical="top"/>
    </xf>
    <xf numFmtId="0" fontId="15" fillId="0" borderId="0" xfId="2" applyFont="1" applyAlignment="1">
      <alignment horizontal="left" vertical="top"/>
    </xf>
    <xf numFmtId="0" fontId="17" fillId="0" borderId="0" xfId="4">
      <alignment horizontal="right" vertical="top"/>
    </xf>
    <xf numFmtId="0" fontId="14" fillId="7" borderId="6" xfId="2" applyFont="1" applyFill="1" applyBorder="1" applyAlignment="1">
      <alignment horizontal="left" vertical="top"/>
    </xf>
    <xf numFmtId="168" fontId="14" fillId="7" borderId="21" xfId="2" applyNumberFormat="1" applyFont="1" applyFill="1" applyBorder="1" applyAlignment="1">
      <alignment horizontal="left" vertical="top"/>
    </xf>
    <xf numFmtId="0" fontId="14" fillId="7" borderId="22" xfId="2" applyFont="1" applyFill="1" applyBorder="1" applyAlignment="1">
      <alignment horizontal="left" vertical="top"/>
    </xf>
    <xf numFmtId="0" fontId="15" fillId="0" borderId="6" xfId="2" applyFont="1" applyBorder="1" applyAlignment="1">
      <alignment horizontal="left" vertical="top"/>
    </xf>
    <xf numFmtId="0" fontId="15" fillId="0" borderId="6" xfId="2" applyFont="1" applyBorder="1" applyAlignment="1">
      <alignment horizontal="left" vertical="top" wrapText="1"/>
    </xf>
    <xf numFmtId="168" fontId="15" fillId="0" borderId="0" xfId="2" applyNumberFormat="1" applyFont="1" applyAlignment="1">
      <alignment horizontal="left" vertical="top"/>
    </xf>
    <xf numFmtId="0" fontId="17" fillId="0" borderId="0" xfId="5" applyAlignment="1">
      <alignment horizontal="left" vertical="top" wrapText="1"/>
    </xf>
    <xf numFmtId="0" fontId="15" fillId="0" borderId="0" xfId="2" applyFont="1" applyAlignment="1">
      <alignment horizontal="left" vertical="top" wrapText="1"/>
    </xf>
    <xf numFmtId="0" fontId="18" fillId="0" borderId="0" xfId="6" applyFont="1">
      <alignment horizontal="left" vertical="top" wrapText="1"/>
    </xf>
    <xf numFmtId="12" fontId="0" fillId="0" borderId="0" xfId="0" applyNumberFormat="1" applyAlignment="1">
      <alignment wrapText="1"/>
    </xf>
    <xf numFmtId="0" fontId="15" fillId="0" borderId="0" xfId="2" applyFont="1" applyAlignment="1">
      <alignment horizontal="left" vertical="top" wrapText="1"/>
    </xf>
    <xf numFmtId="0" fontId="10" fillId="0" borderId="6" xfId="0" applyFont="1" applyBorder="1" applyAlignment="1">
      <alignment horizontal="left" wrapText="1"/>
    </xf>
    <xf numFmtId="0" fontId="10" fillId="0" borderId="6" xfId="0" applyFont="1" applyFill="1" applyBorder="1" applyAlignment="1">
      <alignment horizontal="left" wrapText="1"/>
    </xf>
    <xf numFmtId="0" fontId="10" fillId="0" borderId="0" xfId="0" applyFont="1" applyAlignment="1">
      <alignment horizontal="left" wrapText="1"/>
    </xf>
    <xf numFmtId="0" fontId="9" fillId="0" borderId="6" xfId="0" applyFont="1" applyBorder="1" applyAlignment="1">
      <alignment horizontal="center"/>
    </xf>
    <xf numFmtId="0" fontId="10" fillId="2" borderId="6" xfId="0" applyFont="1" applyFill="1" applyBorder="1" applyAlignment="1">
      <alignment horizontal="center"/>
    </xf>
    <xf numFmtId="0" fontId="10" fillId="2" borderId="6" xfId="0" applyFont="1" applyFill="1" applyBorder="1" applyAlignment="1">
      <alignment horizontal="left" wrapText="1"/>
    </xf>
    <xf numFmtId="0" fontId="10" fillId="2" borderId="6" xfId="0" applyFont="1" applyFill="1" applyBorder="1"/>
    <xf numFmtId="0" fontId="10" fillId="2" borderId="0" xfId="0" applyFont="1" applyFill="1"/>
    <xf numFmtId="0" fontId="17" fillId="0" borderId="0" xfId="4" applyAlignment="1">
      <alignment horizontal="right" vertical="top"/>
    </xf>
    <xf numFmtId="0" fontId="15" fillId="0" borderId="0" xfId="2" applyFont="1" applyAlignment="1">
      <alignment horizontal="left" vertical="top" wrapText="1"/>
    </xf>
    <xf numFmtId="0" fontId="14" fillId="0" borderId="0" xfId="3" applyAlignment="1">
      <alignment horizontal="left" vertical="top"/>
    </xf>
    <xf numFmtId="168" fontId="14" fillId="0" borderId="0" xfId="3" applyNumberFormat="1" applyAlignment="1">
      <alignment horizontal="left" vertical="top"/>
    </xf>
    <xf numFmtId="168" fontId="15" fillId="0" borderId="6" xfId="2" applyNumberFormat="1" applyFont="1" applyBorder="1" applyAlignment="1">
      <alignment horizontal="left" vertical="top"/>
    </xf>
    <xf numFmtId="168" fontId="15" fillId="0" borderId="21" xfId="2" applyNumberFormat="1" applyFont="1" applyBorder="1" applyAlignment="1">
      <alignment horizontal="left" vertical="top"/>
    </xf>
    <xf numFmtId="168" fontId="15" fillId="0" borderId="22" xfId="2" applyNumberFormat="1" applyFont="1" applyBorder="1" applyAlignment="1">
      <alignment horizontal="left" vertical="top"/>
    </xf>
    <xf numFmtId="0" fontId="17" fillId="0" borderId="0" xfId="2" applyFont="1" applyAlignment="1">
      <alignment horizontal="center"/>
    </xf>
  </cellXfs>
  <cellStyles count="8">
    <cellStyle name="Comma" xfId="1" builtinId="3"/>
    <cellStyle name="Heading (No Number) 1" xfId="5"/>
    <cellStyle name="Heading (No Number) 2" xfId="6"/>
    <cellStyle name="Normal" xfId="0" builtinId="0"/>
    <cellStyle name="Normal 2" xfId="2"/>
    <cellStyle name="Normal Indent" xfId="7"/>
    <cellStyle name="Subtitle" xfId="3"/>
    <cellStyle name="Title 2" xfId="4"/>
  </cellStyles>
  <dxfs count="6">
    <dxf>
      <fill>
        <patternFill>
          <bgColor rgb="FF92D050"/>
        </patternFill>
      </fill>
    </dxf>
    <dxf>
      <fill>
        <patternFill>
          <bgColor rgb="FFFF0000"/>
        </patternFill>
      </fill>
    </dxf>
    <dxf>
      <fill>
        <patternFill>
          <bgColor theme="5" tint="0.59996337778862885"/>
        </patternFill>
      </fill>
    </dxf>
    <dxf>
      <fill>
        <patternFill>
          <bgColor rgb="FF92D050"/>
        </patternFill>
      </fill>
    </dxf>
    <dxf>
      <fill>
        <patternFill>
          <bgColor rgb="FFFF0000"/>
        </patternFill>
      </fill>
    </dxf>
    <dxf>
      <fill>
        <patternFill>
          <bgColor theme="5"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10"/>
  <sheetViews>
    <sheetView workbookViewId="0">
      <selection activeCell="B6" sqref="B6"/>
    </sheetView>
  </sheetViews>
  <sheetFormatPr defaultRowHeight="15"/>
  <cols>
    <col min="1" max="1" width="3.28515625" bestFit="1" customWidth="1"/>
    <col min="2" max="2" width="70.28515625" style="85" customWidth="1"/>
    <col min="3" max="3" width="18.7109375" customWidth="1"/>
  </cols>
  <sheetData>
    <row r="1" spans="1:3">
      <c r="A1" s="32" t="s">
        <v>49</v>
      </c>
      <c r="B1" s="32" t="s">
        <v>44</v>
      </c>
      <c r="C1" s="32" t="s">
        <v>50</v>
      </c>
    </row>
    <row r="2" spans="1:3" ht="60">
      <c r="A2" s="27">
        <v>1</v>
      </c>
      <c r="B2" s="100" t="s">
        <v>51</v>
      </c>
      <c r="C2" s="101"/>
    </row>
    <row r="3" spans="1:3" ht="45">
      <c r="A3" s="27">
        <v>2</v>
      </c>
      <c r="B3" s="100" t="s">
        <v>52</v>
      </c>
      <c r="C3" s="101"/>
    </row>
    <row r="4" spans="1:3" ht="45">
      <c r="A4" s="27">
        <v>3</v>
      </c>
      <c r="B4" s="100" t="s">
        <v>45</v>
      </c>
      <c r="C4" s="101"/>
    </row>
    <row r="5" spans="1:3" ht="45">
      <c r="A5" s="27">
        <v>4</v>
      </c>
      <c r="B5" s="100" t="s">
        <v>46</v>
      </c>
      <c r="C5" s="101"/>
    </row>
    <row r="6" spans="1:3" ht="30">
      <c r="A6" s="27">
        <v>5</v>
      </c>
      <c r="B6" s="100" t="s">
        <v>53</v>
      </c>
      <c r="C6" s="101"/>
    </row>
    <row r="7" spans="1:3">
      <c r="A7" s="27">
        <v>6</v>
      </c>
      <c r="B7" s="100" t="s">
        <v>47</v>
      </c>
      <c r="C7" s="101"/>
    </row>
    <row r="8" spans="1:3" ht="45">
      <c r="A8" s="27">
        <v>7</v>
      </c>
      <c r="B8" s="100" t="s">
        <v>48</v>
      </c>
      <c r="C8" s="101"/>
    </row>
    <row r="9" spans="1:3" ht="45">
      <c r="A9" s="27">
        <v>8</v>
      </c>
      <c r="B9" s="100" t="s">
        <v>54</v>
      </c>
      <c r="C9" s="101"/>
    </row>
    <row r="10" spans="1:3" ht="30">
      <c r="A10" s="27">
        <v>9</v>
      </c>
      <c r="B10" s="100" t="s">
        <v>55</v>
      </c>
      <c r="C10" s="10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2:AE359"/>
  <sheetViews>
    <sheetView topLeftCell="A2" workbookViewId="0">
      <pane ySplit="10" topLeftCell="A339" activePane="bottomLeft" state="frozen"/>
      <selection activeCell="A2" sqref="A2"/>
      <selection pane="bottomLeft" activeCell="A353" sqref="A353"/>
    </sheetView>
  </sheetViews>
  <sheetFormatPr defaultRowHeight="15"/>
  <cols>
    <col min="1" max="1" width="7.28515625" style="14" customWidth="1"/>
    <col min="2" max="2" width="11.28515625" customWidth="1"/>
    <col min="3" max="3" width="10.7109375" bestFit="1" customWidth="1"/>
    <col min="6" max="6" width="9.5703125" bestFit="1" customWidth="1"/>
    <col min="8" max="8" width="9.140625" style="4"/>
    <col min="9" max="9" width="17.28515625" customWidth="1"/>
    <col min="10" max="10" width="17.42578125" customWidth="1"/>
    <col min="11" max="11" width="11.5703125" customWidth="1"/>
    <col min="12" max="12" width="10" bestFit="1" customWidth="1"/>
    <col min="14" max="14" width="9.5703125" bestFit="1" customWidth="1"/>
    <col min="15" max="15" width="9.42578125" bestFit="1" customWidth="1"/>
    <col min="16" max="16" width="9.5703125" bestFit="1" customWidth="1"/>
    <col min="17" max="17" width="11.7109375" bestFit="1" customWidth="1"/>
    <col min="19" max="19" width="11.7109375" style="4" bestFit="1" customWidth="1"/>
    <col min="20" max="20" width="11.28515625" customWidth="1"/>
    <col min="23" max="23" width="11.7109375" bestFit="1" customWidth="1"/>
    <col min="25" max="25" width="9.5703125" bestFit="1" customWidth="1"/>
    <col min="31" max="31" width="16.7109375" customWidth="1"/>
  </cols>
  <sheetData>
    <row r="2" spans="1:20">
      <c r="B2" s="103" t="s">
        <v>66</v>
      </c>
    </row>
    <row r="3" spans="1:20">
      <c r="A3" s="103"/>
    </row>
    <row r="4" spans="1:20">
      <c r="A4" s="103"/>
      <c r="B4" s="22" t="s">
        <v>237</v>
      </c>
    </row>
    <row r="5" spans="1:20" ht="15.75" thickBot="1">
      <c r="A5" s="103"/>
    </row>
    <row r="6" spans="1:20" ht="15.75" thickBot="1">
      <c r="B6" s="86" t="s">
        <v>56</v>
      </c>
      <c r="C6" s="87" t="s">
        <v>57</v>
      </c>
      <c r="D6" s="87" t="s">
        <v>58</v>
      </c>
      <c r="E6" s="88" t="s">
        <v>59</v>
      </c>
      <c r="F6" s="89" t="s">
        <v>5</v>
      </c>
      <c r="G6" s="90" t="s">
        <v>60</v>
      </c>
      <c r="H6" s="91" t="s">
        <v>61</v>
      </c>
      <c r="J6" s="104" t="s">
        <v>67</v>
      </c>
    </row>
    <row r="7" spans="1:20" ht="15.75" thickBot="1">
      <c r="B7" s="92">
        <v>1</v>
      </c>
      <c r="C7" s="93">
        <v>40446</v>
      </c>
      <c r="D7" s="94">
        <v>242.24</v>
      </c>
      <c r="E7" s="95">
        <f>$K$7*$K$9*G7</f>
        <v>20.397999999999996</v>
      </c>
      <c r="F7" s="96">
        <f>E7+D7</f>
        <v>262.63800000000003</v>
      </c>
      <c r="G7" s="27">
        <f>C7-$K$8</f>
        <v>31</v>
      </c>
      <c r="H7" s="28">
        <f>$K$7-D7</f>
        <v>757.76</v>
      </c>
      <c r="I7" s="14"/>
      <c r="J7" t="s">
        <v>62</v>
      </c>
      <c r="K7" s="97">
        <v>1000</v>
      </c>
    </row>
    <row r="8" spans="1:20" ht="15.75" thickBot="1">
      <c r="B8" s="92">
        <v>2</v>
      </c>
      <c r="C8" s="93">
        <v>40476</v>
      </c>
      <c r="D8" s="92">
        <v>247.67</v>
      </c>
      <c r="E8" s="95">
        <f>H7*$K$9*G8</f>
        <v>14.958182399999998</v>
      </c>
      <c r="F8" s="96">
        <f>E8+D8</f>
        <v>262.62818240000001</v>
      </c>
      <c r="G8" s="27">
        <f>C8-C7</f>
        <v>30</v>
      </c>
      <c r="H8" s="28">
        <f>H7-D8</f>
        <v>510.09000000000003</v>
      </c>
      <c r="I8" s="14"/>
      <c r="J8" t="s">
        <v>63</v>
      </c>
      <c r="K8" s="98">
        <v>40415</v>
      </c>
      <c r="M8" t="s">
        <v>15</v>
      </c>
    </row>
    <row r="9" spans="1:20" ht="15.75" thickBot="1">
      <c r="B9" s="92">
        <v>3</v>
      </c>
      <c r="C9" s="93">
        <v>40507</v>
      </c>
      <c r="D9" s="92">
        <v>252.22</v>
      </c>
      <c r="E9" s="95">
        <f>H8*$K$9*G9</f>
        <v>10.40481582</v>
      </c>
      <c r="F9" s="96">
        <f>E9+D9</f>
        <v>262.62481581999998</v>
      </c>
      <c r="G9" s="27">
        <f t="shared" ref="G9:G10" si="0">C9-C8</f>
        <v>31</v>
      </c>
      <c r="H9" s="28">
        <f>H8-D9</f>
        <v>257.87</v>
      </c>
      <c r="I9" s="14"/>
      <c r="J9" t="s">
        <v>72</v>
      </c>
      <c r="K9" s="99">
        <v>6.5799999999999995E-4</v>
      </c>
    </row>
    <row r="10" spans="1:20" ht="15.75" thickBot="1">
      <c r="B10" s="92">
        <v>4</v>
      </c>
      <c r="C10" s="93">
        <v>40537</v>
      </c>
      <c r="D10" s="92">
        <v>257.87</v>
      </c>
      <c r="E10" s="95">
        <f>H9*$K$9*G10</f>
        <v>5.0903537999999999</v>
      </c>
      <c r="F10" s="96">
        <f>E10+D10</f>
        <v>262.96035380000001</v>
      </c>
      <c r="G10" s="27">
        <f t="shared" si="0"/>
        <v>30</v>
      </c>
      <c r="H10" s="28">
        <f>H9-D10</f>
        <v>0</v>
      </c>
      <c r="I10" s="14"/>
      <c r="J10" t="s">
        <v>73</v>
      </c>
      <c r="K10">
        <f>K9*365/12</f>
        <v>2.0014166666666666E-2</v>
      </c>
    </row>
    <row r="11" spans="1:20">
      <c r="D11">
        <f>SUM(D7:D10)</f>
        <v>1000</v>
      </c>
      <c r="E11" s="25">
        <f>SUM(E7:E10)</f>
        <v>50.851352019999993</v>
      </c>
      <c r="F11" s="25">
        <f>SUM(F7:F10)</f>
        <v>1050.8513520199999</v>
      </c>
      <c r="I11" s="105"/>
      <c r="J11" s="106"/>
      <c r="K11" s="99"/>
    </row>
    <row r="13" spans="1:20" s="134" customFormat="1" ht="15.75" thickBot="1">
      <c r="A13" s="133" t="s">
        <v>69</v>
      </c>
      <c r="B13" s="134" t="s">
        <v>74</v>
      </c>
      <c r="H13" s="135"/>
      <c r="S13" s="135"/>
    </row>
    <row r="14" spans="1:20" s="134" customFormat="1" ht="15.75" thickBot="1">
      <c r="A14" s="133"/>
      <c r="H14" s="135"/>
      <c r="J14" s="136" t="s">
        <v>56</v>
      </c>
      <c r="K14" s="137" t="s">
        <v>57</v>
      </c>
      <c r="L14" s="137" t="s">
        <v>58</v>
      </c>
      <c r="M14" s="138" t="s">
        <v>59</v>
      </c>
      <c r="N14" s="139" t="s">
        <v>5</v>
      </c>
      <c r="O14" s="140" t="s">
        <v>60</v>
      </c>
      <c r="P14" s="141" t="s">
        <v>61</v>
      </c>
      <c r="S14" s="134" t="s">
        <v>62</v>
      </c>
      <c r="T14" s="142">
        <v>1000</v>
      </c>
    </row>
    <row r="15" spans="1:20" s="134" customFormat="1" ht="15.75" thickBot="1">
      <c r="A15" s="133"/>
      <c r="B15" s="134" t="s">
        <v>75</v>
      </c>
      <c r="H15" s="135"/>
      <c r="J15" s="143">
        <v>1</v>
      </c>
      <c r="K15" s="144">
        <v>40441</v>
      </c>
      <c r="L15" s="145">
        <f>N15-M15</f>
        <v>182.892</v>
      </c>
      <c r="M15" s="146">
        <f>T14*O15*T16</f>
        <v>17.107999999999997</v>
      </c>
      <c r="N15" s="145">
        <v>200</v>
      </c>
      <c r="O15" s="147">
        <f>K15-T15</f>
        <v>26</v>
      </c>
      <c r="P15" s="148">
        <f>T14-L15</f>
        <v>817.10799999999995</v>
      </c>
      <c r="S15" s="134" t="s">
        <v>63</v>
      </c>
      <c r="T15" s="149">
        <v>40415</v>
      </c>
    </row>
    <row r="16" spans="1:20" s="134" customFormat="1" ht="15.75" thickBot="1">
      <c r="A16" s="133"/>
      <c r="B16" s="134" t="s">
        <v>76</v>
      </c>
      <c r="H16" s="135"/>
      <c r="J16" s="143">
        <v>2</v>
      </c>
      <c r="K16" s="144">
        <v>40476</v>
      </c>
      <c r="L16" s="150">
        <f>P15-P16</f>
        <v>307.01799999999997</v>
      </c>
      <c r="M16" s="146">
        <f>P15*O16*T16</f>
        <v>18.817997239999997</v>
      </c>
      <c r="N16" s="145">
        <f>M16+L16</f>
        <v>325.83599723999998</v>
      </c>
      <c r="O16" s="147">
        <f>K16-K15</f>
        <v>35</v>
      </c>
      <c r="P16" s="148">
        <v>510.09</v>
      </c>
      <c r="S16" s="134" t="s">
        <v>72</v>
      </c>
      <c r="T16" s="151">
        <v>6.5799999999999995E-4</v>
      </c>
    </row>
    <row r="17" spans="1:20" s="134" customFormat="1" ht="15.75" thickBot="1">
      <c r="A17" s="133"/>
      <c r="B17" s="134" t="s">
        <v>77</v>
      </c>
      <c r="H17" s="135"/>
      <c r="J17" s="143">
        <v>3</v>
      </c>
      <c r="K17" s="144">
        <v>40507</v>
      </c>
      <c r="L17" s="143">
        <v>252.22</v>
      </c>
      <c r="M17" s="146">
        <f>P16*O17*T16</f>
        <v>10.404815819999998</v>
      </c>
      <c r="N17" s="145">
        <f>M17+L17</f>
        <v>262.62481581999998</v>
      </c>
      <c r="O17" s="147">
        <f t="shared" ref="O17:O18" si="1">K17-K16</f>
        <v>31</v>
      </c>
      <c r="P17" s="148">
        <f>P16-L17</f>
        <v>257.87</v>
      </c>
      <c r="S17" s="134" t="s">
        <v>73</v>
      </c>
      <c r="T17" s="134">
        <f>T16*365/12</f>
        <v>2.0014166666666666E-2</v>
      </c>
    </row>
    <row r="18" spans="1:20" s="134" customFormat="1" ht="15.75" thickBot="1">
      <c r="A18" s="133"/>
      <c r="B18" s="134" t="s">
        <v>78</v>
      </c>
      <c r="H18" s="135"/>
      <c r="J18" s="143">
        <v>4</v>
      </c>
      <c r="K18" s="144">
        <v>40537</v>
      </c>
      <c r="L18" s="143">
        <v>257.87</v>
      </c>
      <c r="M18" s="146">
        <f>P17*O18*T16</f>
        <v>5.0903537999999999</v>
      </c>
      <c r="N18" s="145">
        <f>M18+L18</f>
        <v>262.96035380000001</v>
      </c>
      <c r="O18" s="147">
        <f t="shared" si="1"/>
        <v>30</v>
      </c>
      <c r="P18" s="148">
        <f>P17-L18</f>
        <v>0</v>
      </c>
      <c r="S18" s="135"/>
    </row>
    <row r="19" spans="1:20" s="134" customFormat="1">
      <c r="A19" s="133"/>
      <c r="H19" s="135"/>
      <c r="L19" s="134">
        <f>SUM(L15:L18)</f>
        <v>1000</v>
      </c>
      <c r="M19" s="157">
        <f>SUM(M15:M18)</f>
        <v>51.421166859999992</v>
      </c>
      <c r="N19" s="157">
        <f>SUM(N15:N18)</f>
        <v>1051.4211668600001</v>
      </c>
      <c r="S19" s="135"/>
    </row>
    <row r="20" spans="1:20" s="134" customFormat="1">
      <c r="A20" s="133"/>
      <c r="H20" s="135"/>
      <c r="S20" s="135"/>
    </row>
    <row r="22" spans="1:20" s="106" customFormat="1" ht="15.75" thickBot="1">
      <c r="A22" s="105" t="s">
        <v>68</v>
      </c>
      <c r="B22" t="s">
        <v>79</v>
      </c>
      <c r="C22"/>
      <c r="D22"/>
      <c r="E22"/>
      <c r="F22"/>
      <c r="G22"/>
      <c r="H22" s="4"/>
      <c r="I22"/>
      <c r="J22"/>
      <c r="K22"/>
      <c r="L22"/>
      <c r="M22"/>
      <c r="N22"/>
      <c r="O22"/>
      <c r="P22"/>
      <c r="S22" s="107"/>
    </row>
    <row r="23" spans="1:20" s="106" customFormat="1" ht="15.75" thickBot="1">
      <c r="A23" s="105"/>
      <c r="B23"/>
      <c r="C23"/>
      <c r="D23"/>
      <c r="E23"/>
      <c r="F23"/>
      <c r="G23"/>
      <c r="H23" s="4"/>
      <c r="I23"/>
      <c r="J23" s="86" t="s">
        <v>56</v>
      </c>
      <c r="K23" s="87" t="s">
        <v>57</v>
      </c>
      <c r="L23" s="87" t="s">
        <v>58</v>
      </c>
      <c r="M23" s="88" t="s">
        <v>59</v>
      </c>
      <c r="N23" s="89" t="s">
        <v>5</v>
      </c>
      <c r="O23" s="90" t="s">
        <v>60</v>
      </c>
      <c r="P23" s="91" t="s">
        <v>61</v>
      </c>
      <c r="S23" t="s">
        <v>62</v>
      </c>
      <c r="T23" s="97">
        <v>1000</v>
      </c>
    </row>
    <row r="24" spans="1:20" s="106" customFormat="1" ht="15.75" thickBot="1">
      <c r="A24" s="105"/>
      <c r="B24" t="s">
        <v>75</v>
      </c>
      <c r="C24"/>
      <c r="D24"/>
      <c r="E24"/>
      <c r="F24"/>
      <c r="G24"/>
      <c r="H24" s="4"/>
      <c r="I24"/>
      <c r="J24" s="92">
        <v>1</v>
      </c>
      <c r="K24" s="93">
        <v>40444</v>
      </c>
      <c r="L24" s="96">
        <f>N24-M24</f>
        <v>260.91800000000001</v>
      </c>
      <c r="M24" s="95">
        <f>T23*O24*T25</f>
        <v>19.081999999999997</v>
      </c>
      <c r="N24" s="96">
        <v>280</v>
      </c>
      <c r="O24" s="27">
        <f>K24-T24</f>
        <v>29</v>
      </c>
      <c r="P24" s="28">
        <f>T23-L24</f>
        <v>739.08199999999999</v>
      </c>
      <c r="S24" t="s">
        <v>63</v>
      </c>
      <c r="T24" s="98">
        <v>40415</v>
      </c>
    </row>
    <row r="25" spans="1:20" s="106" customFormat="1" ht="15.75" thickBot="1">
      <c r="A25" s="105"/>
      <c r="B25" t="s">
        <v>83</v>
      </c>
      <c r="C25"/>
      <c r="D25"/>
      <c r="E25"/>
      <c r="F25"/>
      <c r="G25"/>
      <c r="H25" s="4"/>
      <c r="I25"/>
      <c r="J25" s="92">
        <v>2</v>
      </c>
      <c r="K25" s="93">
        <v>40476</v>
      </c>
      <c r="L25" s="115">
        <f>P24-P25</f>
        <v>228.99200000000002</v>
      </c>
      <c r="M25" s="95">
        <f>P24*O25*T25</f>
        <v>15.562110591999998</v>
      </c>
      <c r="N25" s="96">
        <f>M25+L25</f>
        <v>244.55411059200003</v>
      </c>
      <c r="O25" s="27">
        <f>K25-K24</f>
        <v>32</v>
      </c>
      <c r="P25" s="28">
        <v>510.09</v>
      </c>
      <c r="S25" t="s">
        <v>72</v>
      </c>
      <c r="T25" s="99">
        <v>6.5799999999999995E-4</v>
      </c>
    </row>
    <row r="26" spans="1:20" s="106" customFormat="1" ht="15.75" thickBot="1">
      <c r="A26" s="105"/>
      <c r="B26" t="s">
        <v>77</v>
      </c>
      <c r="C26"/>
      <c r="D26"/>
      <c r="E26"/>
      <c r="F26"/>
      <c r="G26"/>
      <c r="H26" s="4"/>
      <c r="I26"/>
      <c r="J26" s="92">
        <v>3</v>
      </c>
      <c r="K26" s="93">
        <v>40507</v>
      </c>
      <c r="L26" s="92">
        <v>252.22</v>
      </c>
      <c r="M26" s="95">
        <f>P25*O26*T25</f>
        <v>10.404815819999998</v>
      </c>
      <c r="N26" s="96">
        <f>M26+L26</f>
        <v>262.62481581999998</v>
      </c>
      <c r="O26" s="27">
        <f t="shared" ref="O26:O27" si="2">K26-K25</f>
        <v>31</v>
      </c>
      <c r="P26" s="28">
        <f>P25-L26</f>
        <v>257.87</v>
      </c>
      <c r="S26" t="s">
        <v>73</v>
      </c>
      <c r="T26">
        <f>T25*365/12</f>
        <v>2.0014166666666666E-2</v>
      </c>
    </row>
    <row r="27" spans="1:20" s="106" customFormat="1" ht="15.75" thickBot="1">
      <c r="A27" s="105"/>
      <c r="B27" t="s">
        <v>81</v>
      </c>
      <c r="C27"/>
      <c r="D27"/>
      <c r="E27"/>
      <c r="F27"/>
      <c r="G27"/>
      <c r="H27" s="4"/>
      <c r="I27"/>
      <c r="J27" s="92">
        <v>4</v>
      </c>
      <c r="K27" s="93">
        <v>40537</v>
      </c>
      <c r="L27" s="92">
        <v>257.87</v>
      </c>
      <c r="M27" s="95">
        <f>P26*O27*T25</f>
        <v>5.0903537999999999</v>
      </c>
      <c r="N27" s="96">
        <f>M27+L27</f>
        <v>262.96035380000001</v>
      </c>
      <c r="O27" s="27">
        <f t="shared" si="2"/>
        <v>30</v>
      </c>
      <c r="P27" s="28">
        <f>P26-L27</f>
        <v>0</v>
      </c>
      <c r="S27" s="107"/>
    </row>
    <row r="28" spans="1:20" s="106" customFormat="1">
      <c r="A28" s="116"/>
      <c r="B28"/>
      <c r="C28"/>
      <c r="D28"/>
      <c r="E28"/>
      <c r="F28"/>
      <c r="G28"/>
      <c r="H28" s="4"/>
      <c r="I28"/>
      <c r="J28"/>
      <c r="K28"/>
      <c r="L28">
        <f>SUM(L24:L27)</f>
        <v>1000</v>
      </c>
      <c r="M28" s="157">
        <f>SUM(M24:M27)</f>
        <v>50.139280211999996</v>
      </c>
      <c r="N28" s="157">
        <f>SUM(N24:N27)</f>
        <v>1050.1392802119999</v>
      </c>
      <c r="O28"/>
      <c r="P28"/>
      <c r="S28" s="107"/>
    </row>
    <row r="29" spans="1:20" s="106" customFormat="1">
      <c r="A29" s="108"/>
      <c r="B29" s="108"/>
      <c r="C29" s="108"/>
      <c r="D29" s="108"/>
      <c r="E29" s="108"/>
      <c r="F29" s="108"/>
      <c r="G29" s="108"/>
      <c r="H29" s="108"/>
      <c r="I29" s="108"/>
      <c r="J29" s="108"/>
      <c r="K29" s="108"/>
      <c r="L29" s="113"/>
      <c r="M29" s="117"/>
      <c r="N29" s="117"/>
      <c r="O29" s="117"/>
      <c r="P29" s="113"/>
    </row>
    <row r="30" spans="1:20" s="134" customFormat="1">
      <c r="A30" s="152"/>
      <c r="B30" s="153"/>
      <c r="C30" s="153"/>
      <c r="D30" s="153"/>
      <c r="E30" s="153"/>
      <c r="F30" s="153"/>
      <c r="G30" s="153"/>
      <c r="H30" s="154"/>
      <c r="I30" s="153"/>
      <c r="J30" s="153"/>
      <c r="K30" s="153"/>
      <c r="L30" s="153"/>
      <c r="M30" s="153"/>
      <c r="N30" s="153"/>
      <c r="O30" s="153"/>
      <c r="P30" s="153"/>
      <c r="S30" s="135"/>
    </row>
    <row r="31" spans="1:20" s="134" customFormat="1" ht="15.75" thickBot="1">
      <c r="A31" s="133" t="s">
        <v>70</v>
      </c>
      <c r="B31" s="134" t="s">
        <v>80</v>
      </c>
      <c r="H31" s="135"/>
      <c r="S31" s="135"/>
    </row>
    <row r="32" spans="1:20" s="134" customFormat="1" ht="15.75" thickBot="1">
      <c r="A32" s="133"/>
      <c r="H32" s="135"/>
      <c r="J32" s="136" t="s">
        <v>56</v>
      </c>
      <c r="K32" s="137" t="s">
        <v>57</v>
      </c>
      <c r="L32" s="137" t="s">
        <v>58</v>
      </c>
      <c r="M32" s="138" t="s">
        <v>59</v>
      </c>
      <c r="N32" s="139" t="s">
        <v>5</v>
      </c>
      <c r="O32" s="140" t="s">
        <v>60</v>
      </c>
      <c r="P32" s="141" t="s">
        <v>61</v>
      </c>
      <c r="S32" s="134" t="s">
        <v>62</v>
      </c>
      <c r="T32" s="142">
        <v>1000</v>
      </c>
    </row>
    <row r="33" spans="1:20" s="134" customFormat="1" ht="15.75" thickBot="1">
      <c r="A33" s="155"/>
      <c r="B33" s="134" t="s">
        <v>75</v>
      </c>
      <c r="H33" s="135"/>
      <c r="J33" s="143">
        <v>1</v>
      </c>
      <c r="K33" s="144">
        <v>40444</v>
      </c>
      <c r="L33" s="145">
        <v>242.24</v>
      </c>
      <c r="M33" s="146">
        <f>T32*O33*T34</f>
        <v>19.081999999999997</v>
      </c>
      <c r="N33" s="145">
        <f>L33+M33</f>
        <v>261.322</v>
      </c>
      <c r="O33" s="147">
        <f>K33-T33</f>
        <v>29</v>
      </c>
      <c r="P33" s="148">
        <f>T32-L33</f>
        <v>757.76</v>
      </c>
      <c r="S33" s="134" t="s">
        <v>63</v>
      </c>
      <c r="T33" s="149">
        <v>40415</v>
      </c>
    </row>
    <row r="34" spans="1:20" s="134" customFormat="1" ht="15.75" thickBot="1">
      <c r="A34" s="156"/>
      <c r="B34" s="134" t="s">
        <v>82</v>
      </c>
      <c r="H34" s="135"/>
      <c r="J34" s="143">
        <v>2</v>
      </c>
      <c r="K34" s="144">
        <v>40476</v>
      </c>
      <c r="L34" s="150">
        <f>P33-P34</f>
        <v>247.67000000000002</v>
      </c>
      <c r="M34" s="146">
        <f>P33*O34*T34</f>
        <v>15.955394559999998</v>
      </c>
      <c r="N34" s="145">
        <f>M34+L34</f>
        <v>263.62539456000002</v>
      </c>
      <c r="O34" s="147">
        <f>K34-K33</f>
        <v>32</v>
      </c>
      <c r="P34" s="148">
        <f>510.09</f>
        <v>510.09</v>
      </c>
      <c r="Q34" s="157"/>
      <c r="S34" s="134" t="s">
        <v>72</v>
      </c>
      <c r="T34" s="151">
        <v>6.5799999999999995E-4</v>
      </c>
    </row>
    <row r="35" spans="1:20" s="134" customFormat="1" ht="15.75" thickBot="1">
      <c r="A35" s="153"/>
      <c r="B35" s="134" t="s">
        <v>77</v>
      </c>
      <c r="H35" s="135"/>
      <c r="J35" s="143">
        <v>3</v>
      </c>
      <c r="K35" s="144">
        <v>40507</v>
      </c>
      <c r="L35" s="143">
        <v>252.22</v>
      </c>
      <c r="M35" s="146">
        <f>P34*O35*T34</f>
        <v>10.404815819999998</v>
      </c>
      <c r="N35" s="145">
        <f>M35+L35</f>
        <v>262.62481581999998</v>
      </c>
      <c r="O35" s="147">
        <f t="shared" ref="O35:O36" si="3">K35-K34</f>
        <v>31</v>
      </c>
      <c r="P35" s="148">
        <f>P34-L35</f>
        <v>257.87</v>
      </c>
      <c r="S35" s="134" t="s">
        <v>73</v>
      </c>
      <c r="T35" s="134">
        <f>T34*365/12</f>
        <v>2.0014166666666666E-2</v>
      </c>
    </row>
    <row r="36" spans="1:20" s="134" customFormat="1" ht="15.75" thickBot="1">
      <c r="A36" s="153"/>
      <c r="B36" s="134" t="s">
        <v>81</v>
      </c>
      <c r="H36" s="135"/>
      <c r="J36" s="143">
        <v>4</v>
      </c>
      <c r="K36" s="144">
        <v>40537</v>
      </c>
      <c r="L36" s="143">
        <v>257.87</v>
      </c>
      <c r="M36" s="146">
        <f>P35*O36*T34</f>
        <v>5.0903537999999999</v>
      </c>
      <c r="N36" s="145">
        <f>M36+L36</f>
        <v>262.96035380000001</v>
      </c>
      <c r="O36" s="147">
        <f t="shared" si="3"/>
        <v>30</v>
      </c>
      <c r="P36" s="148">
        <f>P35-L36</f>
        <v>0</v>
      </c>
    </row>
    <row r="37" spans="1:20" s="134" customFormat="1">
      <c r="A37" s="153"/>
      <c r="H37" s="135"/>
      <c r="L37" s="134">
        <f>SUM(L33:L36)</f>
        <v>1000</v>
      </c>
      <c r="M37" s="157">
        <f>SUM(M33:M36)</f>
        <v>50.532564179999994</v>
      </c>
      <c r="N37" s="157">
        <f>SUM(N33:N36)</f>
        <v>1050.53256418</v>
      </c>
    </row>
    <row r="38" spans="1:20" s="134" customFormat="1">
      <c r="A38" s="153"/>
      <c r="H38" s="135"/>
    </row>
    <row r="39" spans="1:20" s="106" customFormat="1">
      <c r="A39" s="113"/>
      <c r="B39" s="113"/>
      <c r="C39" s="113"/>
      <c r="D39" s="113"/>
      <c r="E39" s="113"/>
      <c r="F39" s="113"/>
      <c r="G39" s="113"/>
      <c r="H39" s="119"/>
      <c r="I39" s="113"/>
      <c r="J39" s="113"/>
      <c r="K39" s="114"/>
      <c r="L39" s="113"/>
      <c r="M39" s="113"/>
      <c r="N39" s="113"/>
      <c r="O39" s="113"/>
    </row>
    <row r="40" spans="1:20" s="106" customFormat="1" ht="15.75" thickBot="1">
      <c r="A40" s="105" t="s">
        <v>84</v>
      </c>
      <c r="B40" t="s">
        <v>85</v>
      </c>
      <c r="C40"/>
      <c r="D40"/>
      <c r="E40"/>
      <c r="F40"/>
      <c r="G40"/>
      <c r="H40" s="4"/>
      <c r="I40"/>
      <c r="J40"/>
      <c r="K40"/>
      <c r="L40"/>
      <c r="M40"/>
      <c r="N40"/>
      <c r="O40"/>
      <c r="P40"/>
      <c r="S40" s="107"/>
    </row>
    <row r="41" spans="1:20" s="106" customFormat="1" ht="15.75" thickBot="1">
      <c r="A41" s="105"/>
      <c r="B41"/>
      <c r="C41"/>
      <c r="D41"/>
      <c r="E41"/>
      <c r="F41"/>
      <c r="G41"/>
      <c r="H41" s="4"/>
      <c r="I41"/>
      <c r="J41" s="86" t="s">
        <v>56</v>
      </c>
      <c r="K41" s="87" t="s">
        <v>57</v>
      </c>
      <c r="L41" s="87" t="s">
        <v>58</v>
      </c>
      <c r="M41" s="88" t="s">
        <v>59</v>
      </c>
      <c r="N41" s="89" t="s">
        <v>5</v>
      </c>
      <c r="O41" s="90" t="s">
        <v>60</v>
      </c>
      <c r="P41" s="91" t="s">
        <v>61</v>
      </c>
      <c r="S41" t="s">
        <v>62</v>
      </c>
      <c r="T41" s="97">
        <v>1000</v>
      </c>
    </row>
    <row r="42" spans="1:20" s="106" customFormat="1" ht="15.75" thickBot="1">
      <c r="A42" s="108"/>
      <c r="B42" t="s">
        <v>75</v>
      </c>
      <c r="C42"/>
      <c r="D42"/>
      <c r="E42"/>
      <c r="F42"/>
      <c r="G42"/>
      <c r="H42" s="4"/>
      <c r="I42"/>
      <c r="J42" s="92">
        <v>1</v>
      </c>
      <c r="K42" s="93">
        <v>40446</v>
      </c>
      <c r="L42" s="96">
        <f>N42-M42</f>
        <v>199.602</v>
      </c>
      <c r="M42" s="95">
        <f>T41*T43*O42</f>
        <v>20.397999999999996</v>
      </c>
      <c r="N42" s="96">
        <v>220</v>
      </c>
      <c r="O42" s="27">
        <f>K42-T42</f>
        <v>31</v>
      </c>
      <c r="P42" s="28">
        <f>T41-L42</f>
        <v>800.39800000000002</v>
      </c>
      <c r="S42" t="s">
        <v>63</v>
      </c>
      <c r="T42" s="98">
        <v>40415</v>
      </c>
    </row>
    <row r="43" spans="1:20" s="106" customFormat="1" ht="15.75" thickBot="1">
      <c r="A43" s="118"/>
      <c r="B43" t="s">
        <v>87</v>
      </c>
      <c r="C43"/>
      <c r="D43"/>
      <c r="E43"/>
      <c r="F43"/>
      <c r="G43"/>
      <c r="H43" s="4"/>
      <c r="I43"/>
      <c r="J43" s="92">
        <v>2</v>
      </c>
      <c r="K43" s="93">
        <v>40476</v>
      </c>
      <c r="L43" s="115">
        <f>P42-P43</f>
        <v>290.30800000000005</v>
      </c>
      <c r="M43" s="95">
        <f>P42*O43*T43</f>
        <v>15.799856520000001</v>
      </c>
      <c r="N43" s="96">
        <f>M43+L43</f>
        <v>306.10785652000004</v>
      </c>
      <c r="O43" s="27">
        <f>K43-K42</f>
        <v>30</v>
      </c>
      <c r="P43" s="28">
        <f>510.09</f>
        <v>510.09</v>
      </c>
      <c r="S43" t="s">
        <v>72</v>
      </c>
      <c r="T43" s="99">
        <v>6.5799999999999995E-4</v>
      </c>
    </row>
    <row r="44" spans="1:20" s="106" customFormat="1" ht="15.75" thickBot="1">
      <c r="A44" s="113"/>
      <c r="B44" t="s">
        <v>77</v>
      </c>
      <c r="C44"/>
      <c r="D44"/>
      <c r="E44"/>
      <c r="F44"/>
      <c r="G44"/>
      <c r="H44" s="4"/>
      <c r="I44"/>
      <c r="J44" s="92">
        <v>3</v>
      </c>
      <c r="K44" s="93">
        <v>40507</v>
      </c>
      <c r="L44" s="92">
        <v>252.22</v>
      </c>
      <c r="M44" s="95">
        <f>P43*O44*T43</f>
        <v>10.404815819999998</v>
      </c>
      <c r="N44" s="96">
        <f>M44+L44</f>
        <v>262.62481581999998</v>
      </c>
      <c r="O44" s="27">
        <f t="shared" ref="O44:O45" si="4">K44-K43</f>
        <v>31</v>
      </c>
      <c r="P44" s="28">
        <f>P43-L44</f>
        <v>257.87</v>
      </c>
      <c r="S44" t="s">
        <v>73</v>
      </c>
      <c r="T44">
        <f>T43*365/12</f>
        <v>2.0014166666666666E-2</v>
      </c>
    </row>
    <row r="45" spans="1:20" s="106" customFormat="1" ht="15.75" thickBot="1">
      <c r="A45" s="113"/>
      <c r="B45" t="s">
        <v>86</v>
      </c>
      <c r="C45"/>
      <c r="D45"/>
      <c r="E45"/>
      <c r="F45"/>
      <c r="G45"/>
      <c r="H45" s="4"/>
      <c r="I45"/>
      <c r="J45" s="92">
        <v>4</v>
      </c>
      <c r="K45" s="93">
        <v>40537</v>
      </c>
      <c r="L45" s="92">
        <v>257.87</v>
      </c>
      <c r="M45" s="95">
        <f>P44*O45*T43</f>
        <v>5.0903537999999999</v>
      </c>
      <c r="N45" s="96">
        <f>M45+L45</f>
        <v>262.96035380000001</v>
      </c>
      <c r="O45" s="27">
        <f t="shared" si="4"/>
        <v>30</v>
      </c>
      <c r="P45" s="28">
        <f>P44-L45</f>
        <v>0</v>
      </c>
    </row>
    <row r="46" spans="1:20" s="106" customFormat="1">
      <c r="A46" s="113"/>
      <c r="B46" s="113"/>
      <c r="C46" s="113"/>
      <c r="D46" s="113"/>
      <c r="E46" s="110"/>
      <c r="F46" s="111"/>
      <c r="G46" s="110"/>
      <c r="H46" s="109"/>
      <c r="I46" s="112"/>
      <c r="J46" s="110"/>
      <c r="K46" s="109"/>
      <c r="L46">
        <f>SUM(L42:L45)</f>
        <v>1000.0000000000001</v>
      </c>
      <c r="M46" s="157">
        <f>SUM(M42:M45)</f>
        <v>51.693026139999994</v>
      </c>
      <c r="N46" s="157">
        <f>SUM(N42:N45)</f>
        <v>1051.69302614</v>
      </c>
      <c r="O46" s="119"/>
    </row>
    <row r="47" spans="1:20" s="106" customFormat="1">
      <c r="A47" s="113"/>
      <c r="B47" s="113"/>
      <c r="C47" s="113"/>
      <c r="D47" s="113"/>
      <c r="E47" s="110"/>
      <c r="F47" s="111"/>
      <c r="G47" s="110"/>
      <c r="H47" s="109"/>
      <c r="I47" s="112"/>
      <c r="J47" s="110"/>
      <c r="K47" s="109"/>
      <c r="L47"/>
      <c r="M47" s="113"/>
      <c r="N47" s="113"/>
      <c r="O47" s="119"/>
    </row>
    <row r="48" spans="1:20" s="134" customFormat="1">
      <c r="A48" s="153"/>
      <c r="B48" s="153"/>
      <c r="C48" s="153"/>
      <c r="D48" s="153"/>
      <c r="E48" s="158"/>
      <c r="F48" s="159"/>
      <c r="G48" s="158"/>
      <c r="H48" s="154"/>
      <c r="I48" s="160"/>
      <c r="J48" s="158"/>
      <c r="K48" s="154"/>
      <c r="L48" s="153"/>
      <c r="M48" s="153"/>
      <c r="N48" s="153"/>
      <c r="O48" s="153"/>
    </row>
    <row r="49" spans="1:20" s="134" customFormat="1" ht="15.75" thickBot="1">
      <c r="A49" s="133" t="s">
        <v>71</v>
      </c>
      <c r="B49" s="134" t="s">
        <v>88</v>
      </c>
      <c r="H49" s="135"/>
      <c r="S49" s="135"/>
    </row>
    <row r="50" spans="1:20" s="134" customFormat="1" ht="15.75" thickBot="1">
      <c r="A50" s="133"/>
      <c r="H50" s="135"/>
      <c r="J50" s="136" t="s">
        <v>56</v>
      </c>
      <c r="K50" s="137" t="s">
        <v>57</v>
      </c>
      <c r="L50" s="137" t="s">
        <v>58</v>
      </c>
      <c r="M50" s="138" t="s">
        <v>59</v>
      </c>
      <c r="N50" s="139" t="s">
        <v>5</v>
      </c>
      <c r="O50" s="140" t="s">
        <v>60</v>
      </c>
      <c r="P50" s="141" t="s">
        <v>61</v>
      </c>
      <c r="S50" s="134" t="s">
        <v>62</v>
      </c>
      <c r="T50" s="142">
        <v>1000</v>
      </c>
    </row>
    <row r="51" spans="1:20" s="134" customFormat="1" ht="15.75" thickBot="1">
      <c r="A51" s="155"/>
      <c r="B51" s="134" t="s">
        <v>75</v>
      </c>
      <c r="H51" s="135"/>
      <c r="J51" s="143">
        <v>1</v>
      </c>
      <c r="K51" s="144">
        <v>40446</v>
      </c>
      <c r="L51" s="145">
        <f>N51-M51</f>
        <v>279.60199999999998</v>
      </c>
      <c r="M51" s="146">
        <f>T50*T52*O51</f>
        <v>20.397999999999996</v>
      </c>
      <c r="N51" s="145">
        <v>300</v>
      </c>
      <c r="O51" s="147">
        <f>K51-T51</f>
        <v>31</v>
      </c>
      <c r="P51" s="148">
        <f>T50-L51</f>
        <v>720.39800000000002</v>
      </c>
      <c r="S51" s="134" t="s">
        <v>63</v>
      </c>
      <c r="T51" s="149">
        <v>40415</v>
      </c>
    </row>
    <row r="52" spans="1:20" s="134" customFormat="1" ht="15.75" thickBot="1">
      <c r="A52" s="156"/>
      <c r="B52" s="134" t="s">
        <v>89</v>
      </c>
      <c r="H52" s="135"/>
      <c r="J52" s="143">
        <v>2</v>
      </c>
      <c r="K52" s="144">
        <v>40476</v>
      </c>
      <c r="L52" s="150">
        <f>P51-P52</f>
        <v>210.30800000000005</v>
      </c>
      <c r="M52" s="146">
        <f>P51*O52*T52</f>
        <v>14.22065652</v>
      </c>
      <c r="N52" s="145">
        <f>M52+L52</f>
        <v>224.52865652000006</v>
      </c>
      <c r="O52" s="147">
        <f>K52-K51</f>
        <v>30</v>
      </c>
      <c r="P52" s="148">
        <f>510.09</f>
        <v>510.09</v>
      </c>
      <c r="S52" s="134" t="s">
        <v>72</v>
      </c>
      <c r="T52" s="151">
        <v>6.5799999999999995E-4</v>
      </c>
    </row>
    <row r="53" spans="1:20" s="134" customFormat="1" ht="15.75" thickBot="1">
      <c r="A53" s="153"/>
      <c r="B53" s="134" t="s">
        <v>77</v>
      </c>
      <c r="H53" s="135"/>
      <c r="J53" s="143">
        <v>3</v>
      </c>
      <c r="K53" s="144">
        <v>40507</v>
      </c>
      <c r="L53" s="143">
        <v>252.22</v>
      </c>
      <c r="M53" s="146">
        <f>P52*O53*T52</f>
        <v>10.404815819999998</v>
      </c>
      <c r="N53" s="145">
        <f>M53+L53</f>
        <v>262.62481581999998</v>
      </c>
      <c r="O53" s="147">
        <f t="shared" ref="O53:O54" si="5">K53-K52</f>
        <v>31</v>
      </c>
      <c r="P53" s="148">
        <f>P52-L53</f>
        <v>257.87</v>
      </c>
      <c r="S53" s="134" t="s">
        <v>73</v>
      </c>
      <c r="T53" s="134">
        <f>T52*365/12</f>
        <v>2.0014166666666666E-2</v>
      </c>
    </row>
    <row r="54" spans="1:20" s="134" customFormat="1" ht="15.75" thickBot="1">
      <c r="A54" s="153"/>
      <c r="B54" s="134" t="s">
        <v>81</v>
      </c>
      <c r="H54" s="135"/>
      <c r="J54" s="143">
        <v>4</v>
      </c>
      <c r="K54" s="144">
        <v>40537</v>
      </c>
      <c r="L54" s="143">
        <v>257.87</v>
      </c>
      <c r="M54" s="146">
        <f>P53*O54*T52</f>
        <v>5.0903537999999999</v>
      </c>
      <c r="N54" s="145">
        <f>M54+L54</f>
        <v>262.96035380000001</v>
      </c>
      <c r="O54" s="147">
        <f t="shared" si="5"/>
        <v>30</v>
      </c>
      <c r="P54" s="148">
        <f>P53-L54</f>
        <v>0</v>
      </c>
    </row>
    <row r="55" spans="1:20" s="134" customFormat="1">
      <c r="A55" s="153"/>
      <c r="B55" s="153"/>
      <c r="C55" s="153"/>
      <c r="D55" s="153"/>
      <c r="E55" s="158"/>
      <c r="F55" s="159"/>
      <c r="G55" s="158"/>
      <c r="H55" s="154"/>
      <c r="I55" s="160"/>
      <c r="J55" s="158"/>
      <c r="K55" s="154"/>
      <c r="L55" s="157">
        <f>SUM(L51:L54)</f>
        <v>1000</v>
      </c>
      <c r="M55" s="157">
        <f>SUM(M51:M54)</f>
        <v>50.113826139999993</v>
      </c>
      <c r="N55" s="157">
        <f>SUM(N51:N54)</f>
        <v>1050.1138261400001</v>
      </c>
      <c r="O55" s="161"/>
    </row>
    <row r="56" spans="1:20" s="134" customFormat="1">
      <c r="A56" s="153"/>
      <c r="B56" s="153"/>
      <c r="C56" s="153"/>
      <c r="D56" s="153"/>
      <c r="E56" s="158"/>
      <c r="F56" s="159"/>
      <c r="G56" s="158"/>
      <c r="H56" s="154"/>
      <c r="I56" s="160"/>
      <c r="J56" s="158"/>
      <c r="K56" s="154"/>
      <c r="L56" s="157"/>
      <c r="M56" s="153"/>
      <c r="N56" s="153"/>
      <c r="O56" s="161"/>
    </row>
    <row r="57" spans="1:20">
      <c r="A57" s="113"/>
      <c r="B57" s="113"/>
      <c r="C57" s="113"/>
      <c r="D57" s="113"/>
      <c r="E57" s="110"/>
      <c r="F57" s="111"/>
      <c r="G57" s="110"/>
      <c r="H57" s="109"/>
      <c r="I57" s="112"/>
      <c r="J57" s="110"/>
      <c r="K57" s="109"/>
      <c r="L57" s="113"/>
      <c r="M57" s="113"/>
      <c r="N57" s="113"/>
      <c r="O57" s="113"/>
      <c r="P57" s="106"/>
      <c r="Q57" s="106"/>
      <c r="R57" s="106"/>
      <c r="S57" s="106"/>
      <c r="T57" s="106"/>
    </row>
    <row r="58" spans="1:20" ht="15.75" thickBot="1">
      <c r="A58" s="105" t="s">
        <v>90</v>
      </c>
      <c r="B58" t="s">
        <v>91</v>
      </c>
      <c r="Q58" s="106"/>
      <c r="R58" s="106"/>
      <c r="S58" s="107"/>
      <c r="T58" s="106"/>
    </row>
    <row r="59" spans="1:20" ht="15.75" thickBot="1">
      <c r="A59" s="105"/>
      <c r="J59" s="86" t="s">
        <v>56</v>
      </c>
      <c r="K59" s="87" t="s">
        <v>57</v>
      </c>
      <c r="L59" s="87" t="s">
        <v>58</v>
      </c>
      <c r="M59" s="88" t="s">
        <v>59</v>
      </c>
      <c r="N59" s="89" t="s">
        <v>5</v>
      </c>
      <c r="O59" s="90" t="s">
        <v>60</v>
      </c>
      <c r="P59" s="91" t="s">
        <v>61</v>
      </c>
      <c r="Q59" s="106"/>
      <c r="R59" s="106"/>
      <c r="S59" t="s">
        <v>62</v>
      </c>
      <c r="T59" s="97">
        <v>1000</v>
      </c>
    </row>
    <row r="60" spans="1:20" ht="15.75" thickBot="1">
      <c r="A60" s="108"/>
      <c r="B60" t="s">
        <v>75</v>
      </c>
      <c r="J60" s="92">
        <v>1</v>
      </c>
      <c r="K60" s="93">
        <v>40446</v>
      </c>
      <c r="L60" s="96">
        <f>N60-M60</f>
        <v>242.24199999999999</v>
      </c>
      <c r="M60" s="95">
        <f>T59*T61*O60</f>
        <v>20.397999999999996</v>
      </c>
      <c r="N60" s="96">
        <v>262.64</v>
      </c>
      <c r="O60" s="27">
        <f>K60-T60</f>
        <v>31</v>
      </c>
      <c r="P60" s="28">
        <f>T59-L60</f>
        <v>757.75800000000004</v>
      </c>
      <c r="Q60" s="106"/>
      <c r="R60" s="106"/>
      <c r="S60" t="s">
        <v>63</v>
      </c>
      <c r="T60" s="98">
        <v>40415</v>
      </c>
    </row>
    <row r="61" spans="1:20" ht="15.75" thickBot="1">
      <c r="A61" s="118"/>
      <c r="B61" t="s">
        <v>92</v>
      </c>
      <c r="J61" s="92">
        <v>2</v>
      </c>
      <c r="K61" s="93">
        <v>40476</v>
      </c>
      <c r="L61" s="115">
        <f>P60-P61</f>
        <v>247.66800000000006</v>
      </c>
      <c r="M61" s="95">
        <f>P60*O61*T61</f>
        <v>14.95814292</v>
      </c>
      <c r="N61" s="96">
        <f>M61+L61</f>
        <v>262.62614292000006</v>
      </c>
      <c r="O61" s="27">
        <f>K61-K60</f>
        <v>30</v>
      </c>
      <c r="P61" s="28">
        <f>510.09</f>
        <v>510.09</v>
      </c>
      <c r="Q61" s="106"/>
      <c r="R61" s="106"/>
      <c r="S61" t="s">
        <v>72</v>
      </c>
      <c r="T61" s="99">
        <v>6.5799999999999995E-4</v>
      </c>
    </row>
    <row r="62" spans="1:20" ht="15.75" thickBot="1">
      <c r="A62" s="113"/>
      <c r="B62" t="s">
        <v>93</v>
      </c>
      <c r="J62" s="92">
        <v>3</v>
      </c>
      <c r="K62" s="93">
        <v>40507</v>
      </c>
      <c r="L62" s="92">
        <v>252.22</v>
      </c>
      <c r="M62" s="95">
        <f>P61*O62*T61</f>
        <v>10.404815819999998</v>
      </c>
      <c r="N62" s="96">
        <f>M62+L62</f>
        <v>262.62481581999998</v>
      </c>
      <c r="O62" s="27">
        <f t="shared" ref="O62:O63" si="6">K62-K61</f>
        <v>31</v>
      </c>
      <c r="P62" s="28">
        <f>P61-L62</f>
        <v>257.87</v>
      </c>
      <c r="Q62" s="106"/>
      <c r="R62" s="106"/>
      <c r="S62" t="s">
        <v>73</v>
      </c>
      <c r="T62">
        <f>T61*365/12</f>
        <v>2.0014166666666666E-2</v>
      </c>
    </row>
    <row r="63" spans="1:20" ht="15.75" thickBot="1">
      <c r="A63" s="113"/>
      <c r="B63" t="s">
        <v>96</v>
      </c>
      <c r="J63" s="92">
        <v>4</v>
      </c>
      <c r="K63" s="93">
        <v>40537</v>
      </c>
      <c r="L63" s="92">
        <v>257.87</v>
      </c>
      <c r="M63" s="95">
        <f>P62*O63*T61</f>
        <v>5.0903537999999999</v>
      </c>
      <c r="N63" s="96">
        <f>M63+L63</f>
        <v>262.96035380000001</v>
      </c>
      <c r="O63" s="27">
        <f t="shared" si="6"/>
        <v>30</v>
      </c>
      <c r="P63" s="28">
        <f>P62-L63</f>
        <v>0</v>
      </c>
      <c r="Q63" s="106"/>
      <c r="R63" s="106"/>
      <c r="S63" s="106"/>
      <c r="T63" s="106"/>
    </row>
    <row r="64" spans="1:20">
      <c r="A64" s="113"/>
      <c r="B64" t="s">
        <v>97</v>
      </c>
      <c r="C64" s="113"/>
      <c r="D64" s="113"/>
      <c r="E64" s="110"/>
      <c r="F64" s="111"/>
      <c r="G64" s="110"/>
      <c r="H64" s="109"/>
      <c r="I64" s="112"/>
      <c r="J64" s="110"/>
      <c r="K64" s="109"/>
      <c r="L64" s="25">
        <f>SUM(L60:L63)</f>
        <v>1000.0000000000001</v>
      </c>
      <c r="M64" s="157">
        <f>SUM(M60:M63)</f>
        <v>50.851312539999995</v>
      </c>
      <c r="N64" s="157">
        <f>SUM(N60:N63)</f>
        <v>1050.85131254</v>
      </c>
      <c r="O64" s="119"/>
      <c r="P64" s="106"/>
      <c r="Q64" s="106"/>
      <c r="R64" s="106"/>
      <c r="S64" s="106"/>
      <c r="T64" s="106"/>
    </row>
    <row r="65" spans="1:20">
      <c r="A65" s="113"/>
      <c r="B65" s="113"/>
      <c r="C65" s="113"/>
      <c r="D65" s="113"/>
      <c r="E65" s="110"/>
      <c r="F65" s="111"/>
      <c r="G65" s="110"/>
      <c r="H65" s="109"/>
      <c r="I65" s="112"/>
      <c r="J65" s="110"/>
      <c r="K65" s="109"/>
      <c r="L65" s="113"/>
      <c r="M65" s="113"/>
      <c r="N65" s="113"/>
      <c r="O65" s="113"/>
      <c r="P65" s="106"/>
      <c r="Q65" s="106"/>
      <c r="R65" s="106"/>
      <c r="S65" s="106"/>
      <c r="T65" s="106"/>
    </row>
    <row r="66" spans="1:20" s="134" customFormat="1">
      <c r="A66" s="133"/>
      <c r="H66" s="135"/>
      <c r="S66" s="135"/>
    </row>
    <row r="67" spans="1:20" s="134" customFormat="1" ht="15.75" thickBot="1">
      <c r="A67" s="133" t="s">
        <v>94</v>
      </c>
      <c r="B67" s="134" t="s">
        <v>95</v>
      </c>
      <c r="H67" s="135"/>
      <c r="S67" s="135"/>
    </row>
    <row r="68" spans="1:20" s="134" customFormat="1" ht="15.75" thickBot="1">
      <c r="A68" s="133"/>
      <c r="H68" s="135"/>
      <c r="J68" s="136" t="s">
        <v>56</v>
      </c>
      <c r="K68" s="137" t="s">
        <v>57</v>
      </c>
      <c r="L68" s="137" t="s">
        <v>58</v>
      </c>
      <c r="M68" s="138" t="s">
        <v>59</v>
      </c>
      <c r="N68" s="139" t="s">
        <v>5</v>
      </c>
      <c r="O68" s="140" t="s">
        <v>60</v>
      </c>
      <c r="P68" s="141" t="s">
        <v>61</v>
      </c>
      <c r="S68" s="134" t="s">
        <v>62</v>
      </c>
      <c r="T68" s="142">
        <v>1000</v>
      </c>
    </row>
    <row r="69" spans="1:20" s="134" customFormat="1" ht="15.75" thickBot="1">
      <c r="A69" s="155"/>
      <c r="B69" s="134" t="s">
        <v>75</v>
      </c>
      <c r="H69" s="135"/>
      <c r="J69" s="143">
        <v>1</v>
      </c>
      <c r="K69" s="144">
        <v>40451</v>
      </c>
      <c r="L69" s="145">
        <f>N69-M69</f>
        <v>176.31200000000001</v>
      </c>
      <c r="M69" s="146">
        <f>T68*T70*O69</f>
        <v>23.687999999999995</v>
      </c>
      <c r="N69" s="145">
        <v>200</v>
      </c>
      <c r="O69" s="147">
        <f>K69-T69</f>
        <v>36</v>
      </c>
      <c r="P69" s="148">
        <f>T68-L69</f>
        <v>823.68799999999999</v>
      </c>
      <c r="S69" s="134" t="s">
        <v>63</v>
      </c>
      <c r="T69" s="149">
        <v>40415</v>
      </c>
    </row>
    <row r="70" spans="1:20" s="134" customFormat="1" ht="15.75" thickBot="1">
      <c r="A70" s="156"/>
      <c r="B70" s="134" t="s">
        <v>98</v>
      </c>
      <c r="H70" s="135"/>
      <c r="J70" s="143">
        <v>2</v>
      </c>
      <c r="K70" s="144">
        <v>40476</v>
      </c>
      <c r="L70" s="150">
        <f>P69-P70</f>
        <v>313.59800000000001</v>
      </c>
      <c r="M70" s="146">
        <f>P69*O70*T70</f>
        <v>13.549667599999999</v>
      </c>
      <c r="N70" s="145">
        <f>M70+L70</f>
        <v>327.14766760000003</v>
      </c>
      <c r="O70" s="147">
        <f>K70-K69</f>
        <v>25</v>
      </c>
      <c r="P70" s="148">
        <f>510.09</f>
        <v>510.09</v>
      </c>
      <c r="S70" s="134" t="s">
        <v>72</v>
      </c>
      <c r="T70" s="151">
        <v>6.5799999999999995E-4</v>
      </c>
    </row>
    <row r="71" spans="1:20" s="134" customFormat="1" ht="15.75" thickBot="1">
      <c r="A71" s="153"/>
      <c r="B71" s="134" t="s">
        <v>77</v>
      </c>
      <c r="H71" s="135"/>
      <c r="J71" s="143">
        <v>3</v>
      </c>
      <c r="K71" s="144">
        <v>40507</v>
      </c>
      <c r="L71" s="143">
        <v>252.22</v>
      </c>
      <c r="M71" s="146">
        <f>P70*O71*T70</f>
        <v>10.404815819999998</v>
      </c>
      <c r="N71" s="145">
        <f>M71+L71</f>
        <v>262.62481581999998</v>
      </c>
      <c r="O71" s="147">
        <f t="shared" ref="O71:O72" si="7">K71-K70</f>
        <v>31</v>
      </c>
      <c r="P71" s="148">
        <f>P70-L71</f>
        <v>257.87</v>
      </c>
      <c r="S71" s="134" t="s">
        <v>73</v>
      </c>
      <c r="T71" s="134">
        <f>T70*365/12</f>
        <v>2.0014166666666666E-2</v>
      </c>
    </row>
    <row r="72" spans="1:20" s="134" customFormat="1" ht="15.75" thickBot="1">
      <c r="A72" s="153"/>
      <c r="B72" s="134" t="s">
        <v>86</v>
      </c>
      <c r="H72" s="135"/>
      <c r="J72" s="143">
        <v>4</v>
      </c>
      <c r="K72" s="144">
        <v>40537</v>
      </c>
      <c r="L72" s="143">
        <v>257.87</v>
      </c>
      <c r="M72" s="146">
        <f>P71*O72*T70</f>
        <v>5.0903537999999999</v>
      </c>
      <c r="N72" s="145">
        <f>M72+L72</f>
        <v>262.96035380000001</v>
      </c>
      <c r="O72" s="147">
        <f t="shared" si="7"/>
        <v>30</v>
      </c>
      <c r="P72" s="148">
        <f>P71-L72</f>
        <v>0</v>
      </c>
    </row>
    <row r="73" spans="1:20" s="134" customFormat="1">
      <c r="A73" s="153"/>
      <c r="B73" s="153"/>
      <c r="C73" s="153"/>
      <c r="D73" s="153"/>
      <c r="E73" s="158"/>
      <c r="F73" s="159"/>
      <c r="G73" s="158"/>
      <c r="H73" s="154"/>
      <c r="I73" s="160"/>
      <c r="J73" s="158"/>
      <c r="K73" s="154"/>
      <c r="L73" s="157">
        <f>SUM(L69:L72)</f>
        <v>1000</v>
      </c>
      <c r="M73" s="157">
        <f>SUM(M69:M72)</f>
        <v>52.732837219999993</v>
      </c>
      <c r="N73" s="157">
        <f>SUM(N69:N72)</f>
        <v>1052.73283722</v>
      </c>
      <c r="O73" s="161"/>
    </row>
    <row r="74" spans="1:20" s="134" customFormat="1">
      <c r="A74" s="153"/>
      <c r="B74" s="153"/>
      <c r="C74" s="153"/>
      <c r="D74" s="153"/>
      <c r="E74" s="158"/>
      <c r="F74" s="159"/>
      <c r="G74" s="158"/>
      <c r="H74" s="154"/>
      <c r="I74" s="160"/>
      <c r="J74" s="158"/>
      <c r="K74" s="154"/>
      <c r="L74" s="157"/>
      <c r="M74" s="153"/>
      <c r="N74" s="153"/>
      <c r="O74" s="161"/>
    </row>
    <row r="75" spans="1:20">
      <c r="A75" s="113"/>
      <c r="C75" s="113"/>
      <c r="D75" s="113"/>
      <c r="E75" s="110"/>
      <c r="F75" s="111"/>
      <c r="G75" s="110"/>
      <c r="H75" s="109"/>
      <c r="I75" s="112"/>
      <c r="J75" s="110"/>
      <c r="K75" s="109"/>
      <c r="L75" s="113"/>
      <c r="M75" s="113"/>
      <c r="N75" s="113"/>
      <c r="O75" s="113"/>
      <c r="P75" s="106"/>
      <c r="Q75" s="106"/>
      <c r="R75" s="106"/>
      <c r="S75" s="106"/>
      <c r="T75" s="106"/>
    </row>
    <row r="76" spans="1:20" ht="15.75" thickBot="1">
      <c r="A76" s="105" t="s">
        <v>99</v>
      </c>
      <c r="B76" t="s">
        <v>100</v>
      </c>
      <c r="Q76" s="106"/>
      <c r="R76" s="106"/>
      <c r="S76" s="107"/>
      <c r="T76" s="106"/>
    </row>
    <row r="77" spans="1:20" ht="15.75" thickBot="1">
      <c r="A77" s="105"/>
      <c r="J77" s="86" t="s">
        <v>56</v>
      </c>
      <c r="K77" s="87" t="s">
        <v>57</v>
      </c>
      <c r="L77" s="87" t="s">
        <v>58</v>
      </c>
      <c r="M77" s="88" t="s">
        <v>59</v>
      </c>
      <c r="N77" s="89" t="s">
        <v>5</v>
      </c>
      <c r="O77" s="90" t="s">
        <v>60</v>
      </c>
      <c r="P77" s="91" t="s">
        <v>61</v>
      </c>
      <c r="Q77" s="106"/>
      <c r="R77" s="106"/>
      <c r="S77" t="s">
        <v>62</v>
      </c>
      <c r="T77" s="97">
        <v>1000</v>
      </c>
    </row>
    <row r="78" spans="1:20" ht="15.75" thickBot="1">
      <c r="A78" s="108"/>
      <c r="B78" t="s">
        <v>75</v>
      </c>
      <c r="J78" s="92">
        <v>1</v>
      </c>
      <c r="K78" s="93">
        <v>40451</v>
      </c>
      <c r="L78" s="96">
        <f>N78-M78</f>
        <v>376.31200000000001</v>
      </c>
      <c r="M78" s="95">
        <f>T77*T79*O78</f>
        <v>23.687999999999995</v>
      </c>
      <c r="N78" s="96">
        <v>400</v>
      </c>
      <c r="O78" s="27">
        <f>K78-T78</f>
        <v>36</v>
      </c>
      <c r="P78" s="28">
        <f>T77-L78</f>
        <v>623.68799999999999</v>
      </c>
      <c r="Q78" s="106"/>
      <c r="R78" s="106"/>
      <c r="S78" t="s">
        <v>63</v>
      </c>
      <c r="T78" s="98">
        <v>40415</v>
      </c>
    </row>
    <row r="79" spans="1:20" ht="15.75" thickBot="1">
      <c r="A79" s="118"/>
      <c r="B79" t="s">
        <v>101</v>
      </c>
      <c r="J79" s="92">
        <v>2</v>
      </c>
      <c r="K79" s="93">
        <v>40476</v>
      </c>
      <c r="L79" s="115">
        <f>P78-P79</f>
        <v>113.59800000000001</v>
      </c>
      <c r="M79" s="95">
        <f>P78*O79*T79</f>
        <v>10.259667599999998</v>
      </c>
      <c r="N79" s="96">
        <f>M79+L79</f>
        <v>123.85766760000001</v>
      </c>
      <c r="O79" s="27">
        <f>K79-K78</f>
        <v>25</v>
      </c>
      <c r="P79" s="28">
        <f>510.09</f>
        <v>510.09</v>
      </c>
      <c r="Q79" s="106"/>
      <c r="R79" s="106"/>
      <c r="S79" t="s">
        <v>72</v>
      </c>
      <c r="T79" s="99">
        <v>6.5799999999999995E-4</v>
      </c>
    </row>
    <row r="80" spans="1:20" ht="15.75" thickBot="1">
      <c r="A80" s="113"/>
      <c r="B80" t="s">
        <v>77</v>
      </c>
      <c r="J80" s="92">
        <v>3</v>
      </c>
      <c r="K80" s="93">
        <v>40507</v>
      </c>
      <c r="L80" s="92">
        <v>252.22</v>
      </c>
      <c r="M80" s="95">
        <f>P79*O80*T79</f>
        <v>10.404815819999998</v>
      </c>
      <c r="N80" s="96">
        <f>M80+L80</f>
        <v>262.62481581999998</v>
      </c>
      <c r="O80" s="27">
        <f t="shared" ref="O80:O81" si="8">K80-K79</f>
        <v>31</v>
      </c>
      <c r="P80" s="28">
        <f>P79-L80</f>
        <v>257.87</v>
      </c>
      <c r="Q80" s="106"/>
      <c r="R80" s="106"/>
      <c r="S80" t="s">
        <v>73</v>
      </c>
      <c r="T80">
        <f>T79*365/12</f>
        <v>2.0014166666666666E-2</v>
      </c>
    </row>
    <row r="81" spans="1:20" ht="15.75" thickBot="1">
      <c r="A81" s="113"/>
      <c r="B81" t="s">
        <v>81</v>
      </c>
      <c r="J81" s="92">
        <v>4</v>
      </c>
      <c r="K81" s="93">
        <v>40537</v>
      </c>
      <c r="L81" s="92">
        <v>257.87</v>
      </c>
      <c r="M81" s="95">
        <f>P80*O81*T79</f>
        <v>5.0903537999999999</v>
      </c>
      <c r="N81" s="96">
        <f>M81+L81</f>
        <v>262.96035380000001</v>
      </c>
      <c r="O81" s="27">
        <f t="shared" si="8"/>
        <v>30</v>
      </c>
      <c r="P81" s="28">
        <f>P80-L81</f>
        <v>0</v>
      </c>
      <c r="Q81" s="106"/>
      <c r="R81" s="106"/>
      <c r="S81" s="106"/>
      <c r="T81" s="106"/>
    </row>
    <row r="82" spans="1:20">
      <c r="A82" s="113"/>
      <c r="B82" s="113"/>
      <c r="C82" s="113"/>
      <c r="D82" s="113"/>
      <c r="E82" s="110"/>
      <c r="F82" s="111"/>
      <c r="G82" s="110"/>
      <c r="H82" s="109"/>
      <c r="I82" s="112"/>
      <c r="J82" s="110"/>
      <c r="K82" s="109"/>
      <c r="L82" s="25">
        <f>SUM(L78:L81)</f>
        <v>1000</v>
      </c>
      <c r="M82" s="157">
        <f>SUM(M78:M81)</f>
        <v>49.442837219999994</v>
      </c>
      <c r="N82" s="157">
        <f>SUM(N78:N81)</f>
        <v>1049.44283722</v>
      </c>
      <c r="O82" s="119"/>
      <c r="P82" s="106"/>
      <c r="Q82" s="106"/>
      <c r="R82" s="106"/>
      <c r="S82" s="106"/>
      <c r="T82" s="106"/>
    </row>
    <row r="83" spans="1:20">
      <c r="A83" s="113"/>
      <c r="B83" s="113"/>
      <c r="C83" s="113"/>
      <c r="D83" s="113"/>
      <c r="E83" s="110"/>
      <c r="F83" s="111"/>
      <c r="G83" s="110"/>
      <c r="H83" s="109"/>
      <c r="I83" s="112"/>
      <c r="J83" s="110"/>
      <c r="K83" s="109"/>
      <c r="L83" s="25"/>
      <c r="M83" s="113"/>
      <c r="N83" s="113"/>
      <c r="O83" s="119"/>
      <c r="P83" s="106"/>
      <c r="Q83" s="106"/>
      <c r="R83" s="106"/>
      <c r="S83" s="106"/>
      <c r="T83" s="106"/>
    </row>
    <row r="84" spans="1:20" s="134" customFormat="1">
      <c r="A84" s="133"/>
      <c r="H84" s="135"/>
      <c r="S84" s="135"/>
    </row>
    <row r="85" spans="1:20" s="134" customFormat="1" ht="15.75" thickBot="1">
      <c r="A85" s="133" t="s">
        <v>102</v>
      </c>
      <c r="B85" s="134" t="s">
        <v>103</v>
      </c>
      <c r="H85" s="135"/>
      <c r="S85" s="135"/>
    </row>
    <row r="86" spans="1:20" s="134" customFormat="1" ht="15.75" thickBot="1">
      <c r="A86" s="133"/>
      <c r="H86" s="135"/>
      <c r="J86" s="136" t="s">
        <v>56</v>
      </c>
      <c r="K86" s="137" t="s">
        <v>57</v>
      </c>
      <c r="L86" s="137" t="s">
        <v>58</v>
      </c>
      <c r="M86" s="138" t="s">
        <v>59</v>
      </c>
      <c r="N86" s="139" t="s">
        <v>5</v>
      </c>
      <c r="O86" s="140" t="s">
        <v>60</v>
      </c>
      <c r="P86" s="141" t="s">
        <v>61</v>
      </c>
      <c r="S86" s="134" t="s">
        <v>62</v>
      </c>
      <c r="T86" s="142">
        <v>1000</v>
      </c>
    </row>
    <row r="87" spans="1:20" s="134" customFormat="1" ht="15.75" thickBot="1">
      <c r="A87" s="155"/>
      <c r="B87" s="134" t="s">
        <v>75</v>
      </c>
      <c r="H87" s="135"/>
      <c r="J87" s="143">
        <v>1</v>
      </c>
      <c r="K87" s="144">
        <v>40451</v>
      </c>
      <c r="L87" s="145">
        <v>242.24</v>
      </c>
      <c r="M87" s="146">
        <f>T86*T88*O87</f>
        <v>23.687999999999995</v>
      </c>
      <c r="N87" s="145">
        <f>L87+M87</f>
        <v>265.928</v>
      </c>
      <c r="O87" s="147">
        <f>K87-T87</f>
        <v>36</v>
      </c>
      <c r="P87" s="148">
        <f>T86-L87</f>
        <v>757.76</v>
      </c>
      <c r="S87" s="134" t="s">
        <v>63</v>
      </c>
      <c r="T87" s="149">
        <v>40415</v>
      </c>
    </row>
    <row r="88" spans="1:20" s="134" customFormat="1" ht="15.75" thickBot="1">
      <c r="A88" s="156"/>
      <c r="B88" s="134" t="s">
        <v>104</v>
      </c>
      <c r="H88" s="135"/>
      <c r="J88" s="143">
        <v>2</v>
      </c>
      <c r="K88" s="144">
        <v>40476</v>
      </c>
      <c r="L88" s="150">
        <f>P87-P88</f>
        <v>247.67000000000002</v>
      </c>
      <c r="M88" s="146">
        <f>P87*O88*T88</f>
        <v>12.465152</v>
      </c>
      <c r="N88" s="145">
        <f>M88+L88</f>
        <v>260.13515200000001</v>
      </c>
      <c r="O88" s="147">
        <f>K88-K87</f>
        <v>25</v>
      </c>
      <c r="P88" s="148">
        <f>510.09</f>
        <v>510.09</v>
      </c>
      <c r="S88" s="134" t="s">
        <v>72</v>
      </c>
      <c r="T88" s="151">
        <v>6.5799999999999995E-4</v>
      </c>
    </row>
    <row r="89" spans="1:20" s="134" customFormat="1" ht="15.75" thickBot="1">
      <c r="A89" s="153"/>
      <c r="B89" s="134" t="s">
        <v>77</v>
      </c>
      <c r="H89" s="135"/>
      <c r="J89" s="143">
        <v>3</v>
      </c>
      <c r="K89" s="144">
        <v>40507</v>
      </c>
      <c r="L89" s="143">
        <v>252.22</v>
      </c>
      <c r="M89" s="146">
        <f>P88*O89*T88</f>
        <v>10.404815819999998</v>
      </c>
      <c r="N89" s="145">
        <f>M89+L89</f>
        <v>262.62481581999998</v>
      </c>
      <c r="O89" s="147">
        <f t="shared" ref="O89:O90" si="9">K89-K88</f>
        <v>31</v>
      </c>
      <c r="P89" s="148">
        <f>P88-L89</f>
        <v>257.87</v>
      </c>
      <c r="S89" s="134" t="s">
        <v>73</v>
      </c>
      <c r="T89" s="134">
        <f>T88*365/12</f>
        <v>2.0014166666666666E-2</v>
      </c>
    </row>
    <row r="90" spans="1:20" s="134" customFormat="1" ht="15.75" thickBot="1">
      <c r="A90" s="153"/>
      <c r="B90" s="134" t="s">
        <v>81</v>
      </c>
      <c r="H90" s="135"/>
      <c r="J90" s="143">
        <v>4</v>
      </c>
      <c r="K90" s="144">
        <v>40537</v>
      </c>
      <c r="L90" s="143">
        <v>257.87</v>
      </c>
      <c r="M90" s="146">
        <f>P89*O90*T88</f>
        <v>5.0903537999999999</v>
      </c>
      <c r="N90" s="145">
        <f>M90+L90</f>
        <v>262.96035380000001</v>
      </c>
      <c r="O90" s="147">
        <f t="shared" si="9"/>
        <v>30</v>
      </c>
      <c r="P90" s="148">
        <f>P89-L90</f>
        <v>0</v>
      </c>
    </row>
    <row r="91" spans="1:20" s="134" customFormat="1">
      <c r="A91" s="153"/>
      <c r="B91" s="153"/>
      <c r="C91" s="153"/>
      <c r="D91" s="153"/>
      <c r="E91" s="158"/>
      <c r="F91" s="159"/>
      <c r="G91" s="158"/>
      <c r="H91" s="154"/>
      <c r="I91" s="160"/>
      <c r="J91" s="158"/>
      <c r="K91" s="154"/>
      <c r="L91" s="157">
        <f>SUM(L87:L90)</f>
        <v>1000</v>
      </c>
      <c r="M91" s="157">
        <f>SUM(M87:M90)</f>
        <v>51.64832161999999</v>
      </c>
      <c r="N91" s="157">
        <f>SUM(N87:N90)</f>
        <v>1051.6483216199999</v>
      </c>
      <c r="O91" s="161"/>
    </row>
    <row r="92" spans="1:20" s="134" customFormat="1">
      <c r="A92" s="133"/>
      <c r="H92" s="135"/>
      <c r="S92" s="135"/>
    </row>
    <row r="93" spans="1:20" s="106" customFormat="1">
      <c r="A93" s="105"/>
      <c r="H93" s="107"/>
      <c r="S93" s="107"/>
    </row>
    <row r="94" spans="1:20" ht="15.75" thickBot="1">
      <c r="A94" s="105" t="s">
        <v>105</v>
      </c>
      <c r="B94" t="s">
        <v>106</v>
      </c>
      <c r="Q94" s="106"/>
      <c r="R94" s="106"/>
      <c r="S94" s="107"/>
      <c r="T94" s="106"/>
    </row>
    <row r="95" spans="1:20" ht="15.75" thickBot="1">
      <c r="A95" s="105"/>
      <c r="J95" s="86" t="s">
        <v>56</v>
      </c>
      <c r="K95" s="87" t="s">
        <v>57</v>
      </c>
      <c r="L95" s="87" t="s">
        <v>58</v>
      </c>
      <c r="M95" s="88" t="s">
        <v>59</v>
      </c>
      <c r="N95" s="89" t="s">
        <v>5</v>
      </c>
      <c r="O95" s="90" t="s">
        <v>60</v>
      </c>
      <c r="P95" s="91" t="s">
        <v>61</v>
      </c>
      <c r="Q95" s="106"/>
      <c r="R95" s="106"/>
      <c r="S95" t="s">
        <v>62</v>
      </c>
      <c r="T95" s="97">
        <v>1000</v>
      </c>
    </row>
    <row r="96" spans="1:20" ht="15.75" thickBot="1">
      <c r="A96" s="108"/>
      <c r="B96" t="s">
        <v>75</v>
      </c>
      <c r="J96" s="92">
        <v>1</v>
      </c>
      <c r="K96" s="93">
        <v>40446</v>
      </c>
      <c r="L96" s="96">
        <v>242.24</v>
      </c>
      <c r="M96" s="95">
        <f>T95*T97*O96</f>
        <v>20.397999999999996</v>
      </c>
      <c r="N96" s="96">
        <f>L96+M96</f>
        <v>262.63800000000003</v>
      </c>
      <c r="O96" s="27">
        <f>K96-T96</f>
        <v>31</v>
      </c>
      <c r="P96" s="28">
        <f>T95-L96</f>
        <v>757.76</v>
      </c>
      <c r="Q96" s="106"/>
      <c r="R96" s="106"/>
      <c r="S96" t="s">
        <v>63</v>
      </c>
      <c r="T96" s="98">
        <v>40415</v>
      </c>
    </row>
    <row r="97" spans="1:20" ht="15.75" thickBot="1">
      <c r="A97" s="118"/>
      <c r="B97" t="s">
        <v>107</v>
      </c>
      <c r="J97" s="92">
        <v>2</v>
      </c>
      <c r="K97" s="93">
        <v>40476</v>
      </c>
      <c r="L97" s="115">
        <f>P96-P97</f>
        <v>247.67000000000002</v>
      </c>
      <c r="M97" s="95">
        <f>P96*O97*T97</f>
        <v>14.958182399999998</v>
      </c>
      <c r="N97" s="96">
        <f>M97+L97</f>
        <v>262.62818240000001</v>
      </c>
      <c r="O97" s="27">
        <f>K97-K96</f>
        <v>30</v>
      </c>
      <c r="P97" s="28">
        <f>510.09</f>
        <v>510.09</v>
      </c>
      <c r="Q97" s="106"/>
      <c r="R97" s="106"/>
      <c r="S97" t="s">
        <v>72</v>
      </c>
      <c r="T97" s="99">
        <v>6.5799999999999995E-4</v>
      </c>
    </row>
    <row r="98" spans="1:20" ht="15.75" thickBot="1">
      <c r="A98" s="113"/>
      <c r="B98" t="s">
        <v>108</v>
      </c>
      <c r="J98" s="92">
        <v>3</v>
      </c>
      <c r="K98" s="93">
        <v>40507</v>
      </c>
      <c r="L98" s="92">
        <v>252.22</v>
      </c>
      <c r="M98" s="95">
        <f>P97*O98*T97</f>
        <v>10.404815819999998</v>
      </c>
      <c r="N98" s="96">
        <f>M98+L98</f>
        <v>262.62481581999998</v>
      </c>
      <c r="O98" s="27">
        <f t="shared" ref="O98:O99" si="10">K98-K97</f>
        <v>31</v>
      </c>
      <c r="P98" s="28">
        <f>P97-L98</f>
        <v>257.87</v>
      </c>
      <c r="Q98" s="106"/>
      <c r="R98" s="106"/>
      <c r="S98" t="s">
        <v>73</v>
      </c>
      <c r="T98">
        <f>T97*365/12</f>
        <v>2.0014166666666666E-2</v>
      </c>
    </row>
    <row r="99" spans="1:20" ht="15.75" thickBot="1">
      <c r="A99" s="113"/>
      <c r="J99" s="92">
        <v>4</v>
      </c>
      <c r="K99" s="93">
        <v>40537</v>
      </c>
      <c r="L99" s="92">
        <v>257.87</v>
      </c>
      <c r="M99" s="95">
        <f>P98*O99*T97</f>
        <v>5.0903537999999999</v>
      </c>
      <c r="N99" s="96">
        <f>M99+L99</f>
        <v>262.96035380000001</v>
      </c>
      <c r="O99" s="27">
        <f t="shared" si="10"/>
        <v>30</v>
      </c>
      <c r="P99" s="28">
        <f>P98-L99</f>
        <v>0</v>
      </c>
      <c r="Q99" s="106"/>
      <c r="R99" s="106"/>
      <c r="S99" s="106"/>
      <c r="T99" s="106"/>
    </row>
    <row r="100" spans="1:20">
      <c r="A100" s="113"/>
      <c r="B100" s="113"/>
      <c r="C100" s="113"/>
      <c r="D100" s="113"/>
      <c r="E100" s="110"/>
      <c r="F100" s="111"/>
      <c r="G100" s="110"/>
      <c r="H100" s="109"/>
      <c r="I100" s="112"/>
      <c r="J100" s="110"/>
      <c r="K100" s="109"/>
      <c r="L100" s="25">
        <f>SUM(L96:L99)</f>
        <v>1000</v>
      </c>
      <c r="M100" s="157">
        <f>SUM(M96:M99)</f>
        <v>50.851352019999993</v>
      </c>
      <c r="N100" s="157">
        <f>SUM(N96:N99)</f>
        <v>1050.8513520199999</v>
      </c>
      <c r="O100" s="119"/>
      <c r="P100" s="106"/>
      <c r="Q100" s="106"/>
      <c r="R100" s="106"/>
      <c r="S100" s="106"/>
      <c r="T100" s="106"/>
    </row>
    <row r="101" spans="1:20">
      <c r="A101" s="113"/>
      <c r="B101" s="113"/>
      <c r="C101" s="113"/>
      <c r="D101" s="113"/>
      <c r="E101" s="110"/>
      <c r="F101" s="111"/>
      <c r="G101" s="110"/>
      <c r="H101" s="109"/>
      <c r="I101" s="112"/>
      <c r="J101" s="110"/>
      <c r="K101" s="109"/>
      <c r="L101" s="25"/>
      <c r="M101" s="113"/>
      <c r="N101" s="113"/>
      <c r="O101" s="119"/>
      <c r="P101" s="106"/>
      <c r="Q101" s="106"/>
      <c r="R101" s="106"/>
      <c r="S101" s="106"/>
      <c r="T101" s="106"/>
    </row>
    <row r="102" spans="1:20" s="134" customFormat="1">
      <c r="A102" s="133"/>
      <c r="H102" s="135"/>
      <c r="S102" s="135"/>
    </row>
    <row r="103" spans="1:20" s="134" customFormat="1" ht="15.75" thickBot="1">
      <c r="A103" s="133" t="s">
        <v>109</v>
      </c>
      <c r="B103" s="134" t="s">
        <v>110</v>
      </c>
      <c r="H103" s="135"/>
      <c r="S103" s="135"/>
    </row>
    <row r="104" spans="1:20" s="134" customFormat="1" ht="15.75" thickBot="1">
      <c r="A104" s="133"/>
      <c r="H104" s="135"/>
      <c r="J104" s="136" t="s">
        <v>56</v>
      </c>
      <c r="K104" s="137" t="s">
        <v>57</v>
      </c>
      <c r="L104" s="137" t="s">
        <v>58</v>
      </c>
      <c r="M104" s="138" t="s">
        <v>59</v>
      </c>
      <c r="N104" s="139" t="s">
        <v>5</v>
      </c>
      <c r="O104" s="140" t="s">
        <v>60</v>
      </c>
      <c r="P104" s="141" t="s">
        <v>61</v>
      </c>
      <c r="S104" s="134" t="s">
        <v>62</v>
      </c>
      <c r="T104" s="142">
        <v>1000</v>
      </c>
    </row>
    <row r="105" spans="1:20" s="134" customFormat="1" ht="15.75" thickBot="1">
      <c r="A105" s="155"/>
      <c r="B105" s="134" t="s">
        <v>75</v>
      </c>
      <c r="H105" s="135"/>
      <c r="J105" s="143">
        <v>1</v>
      </c>
      <c r="K105" s="144">
        <v>40446</v>
      </c>
      <c r="L105" s="145">
        <v>242.24</v>
      </c>
      <c r="M105" s="146">
        <f>T104*T106*O105</f>
        <v>20.397999999999996</v>
      </c>
      <c r="N105" s="145">
        <f>L105+M105</f>
        <v>262.63800000000003</v>
      </c>
      <c r="O105" s="147">
        <f>K105-T105</f>
        <v>31</v>
      </c>
      <c r="P105" s="148">
        <f>T104-L105</f>
        <v>757.76</v>
      </c>
      <c r="S105" s="134" t="s">
        <v>63</v>
      </c>
      <c r="T105" s="149">
        <v>40415</v>
      </c>
    </row>
    <row r="106" spans="1:20" s="134" customFormat="1" ht="15.75" thickBot="1">
      <c r="A106" s="156"/>
      <c r="B106" s="134" t="s">
        <v>92</v>
      </c>
      <c r="H106" s="135"/>
      <c r="J106" s="143">
        <v>2</v>
      </c>
      <c r="K106" s="144">
        <v>40476</v>
      </c>
      <c r="L106" s="150">
        <f>P105-P106</f>
        <v>247.67000000000002</v>
      </c>
      <c r="M106" s="146">
        <f>P105*O106*T106</f>
        <v>14.958182399999998</v>
      </c>
      <c r="N106" s="145">
        <f>M106+L106</f>
        <v>262.62818240000001</v>
      </c>
      <c r="O106" s="147">
        <f>K106-K105</f>
        <v>30</v>
      </c>
      <c r="P106" s="148">
        <f>510.09</f>
        <v>510.09</v>
      </c>
      <c r="S106" s="134" t="s">
        <v>72</v>
      </c>
      <c r="T106" s="151">
        <v>6.5799999999999995E-4</v>
      </c>
    </row>
    <row r="107" spans="1:20" s="134" customFormat="1" ht="15.75" thickBot="1">
      <c r="A107" s="153"/>
      <c r="B107" s="134" t="s">
        <v>111</v>
      </c>
      <c r="H107" s="135"/>
      <c r="J107" s="143">
        <v>3</v>
      </c>
      <c r="K107" s="144">
        <v>40507</v>
      </c>
      <c r="L107" s="143">
        <v>252.22</v>
      </c>
      <c r="M107" s="146">
        <f>P106*O107*T106</f>
        <v>10.404815819999998</v>
      </c>
      <c r="N107" s="145">
        <f>M107+L107</f>
        <v>262.62481581999998</v>
      </c>
      <c r="O107" s="147">
        <f t="shared" ref="O107:O108" si="11">K107-K106</f>
        <v>31</v>
      </c>
      <c r="P107" s="148">
        <f>P106-L107</f>
        <v>257.87</v>
      </c>
      <c r="S107" s="134" t="s">
        <v>73</v>
      </c>
      <c r="T107" s="134">
        <f>T106*365/12</f>
        <v>2.0014166666666666E-2</v>
      </c>
    </row>
    <row r="108" spans="1:20" s="134" customFormat="1" ht="15.75" thickBot="1">
      <c r="A108" s="153"/>
      <c r="B108" s="134" t="s">
        <v>112</v>
      </c>
      <c r="H108" s="135"/>
      <c r="J108" s="143">
        <v>4</v>
      </c>
      <c r="K108" s="144">
        <v>40537</v>
      </c>
      <c r="L108" s="143">
        <v>257.87</v>
      </c>
      <c r="M108" s="146">
        <f>P107*O108*T106</f>
        <v>5.0903537999999999</v>
      </c>
      <c r="N108" s="145">
        <f>M108+L108</f>
        <v>262.96035380000001</v>
      </c>
      <c r="O108" s="147">
        <f t="shared" si="11"/>
        <v>30</v>
      </c>
      <c r="P108" s="148">
        <f>P107-L108</f>
        <v>0</v>
      </c>
    </row>
    <row r="109" spans="1:20" s="134" customFormat="1">
      <c r="A109" s="153"/>
      <c r="B109" s="153" t="s">
        <v>113</v>
      </c>
      <c r="C109" s="153"/>
      <c r="D109" s="153"/>
      <c r="E109" s="158"/>
      <c r="F109" s="159"/>
      <c r="G109" s="158"/>
      <c r="H109" s="154"/>
      <c r="I109" s="160"/>
      <c r="J109" s="158"/>
      <c r="K109" s="154"/>
      <c r="L109" s="157">
        <f>SUM(L105:L108)</f>
        <v>1000</v>
      </c>
      <c r="M109" s="157">
        <f>SUM(M105:M108)</f>
        <v>50.851352019999993</v>
      </c>
      <c r="N109" s="157">
        <f>SUM(N105:N108)</f>
        <v>1050.8513520199999</v>
      </c>
      <c r="O109" s="161"/>
    </row>
    <row r="110" spans="1:20" s="134" customFormat="1">
      <c r="A110" s="133"/>
      <c r="B110" s="153" t="s">
        <v>114</v>
      </c>
      <c r="H110" s="135"/>
      <c r="S110" s="135"/>
    </row>
    <row r="111" spans="1:20" s="134" customFormat="1">
      <c r="A111" s="133"/>
      <c r="H111" s="135"/>
      <c r="S111" s="135"/>
    </row>
    <row r="113" spans="1:20" ht="15.75" thickBot="1">
      <c r="A113" s="105" t="s">
        <v>115</v>
      </c>
      <c r="B113" t="s">
        <v>116</v>
      </c>
      <c r="Q113" s="106"/>
      <c r="R113" s="106"/>
      <c r="S113" s="107"/>
      <c r="T113" s="106"/>
    </row>
    <row r="114" spans="1:20" ht="15.75" thickBot="1">
      <c r="A114" s="105"/>
      <c r="J114" s="86" t="s">
        <v>56</v>
      </c>
      <c r="K114" s="87" t="s">
        <v>57</v>
      </c>
      <c r="L114" s="87" t="s">
        <v>58</v>
      </c>
      <c r="M114" s="88" t="s">
        <v>59</v>
      </c>
      <c r="N114" s="89" t="s">
        <v>5</v>
      </c>
      <c r="O114" s="90" t="s">
        <v>60</v>
      </c>
      <c r="P114" s="91" t="s">
        <v>61</v>
      </c>
      <c r="Q114" s="106"/>
      <c r="R114" s="106"/>
      <c r="S114" t="s">
        <v>62</v>
      </c>
      <c r="T114" s="97">
        <v>1000</v>
      </c>
    </row>
    <row r="115" spans="1:20" ht="15.75" thickBot="1">
      <c r="A115" s="108"/>
      <c r="B115" t="s">
        <v>75</v>
      </c>
      <c r="J115" s="92">
        <v>1</v>
      </c>
      <c r="K115" s="93">
        <v>40446</v>
      </c>
      <c r="L115" s="96">
        <v>242.24</v>
      </c>
      <c r="M115" s="95">
        <f>T114*T116*O115</f>
        <v>20.397999999999996</v>
      </c>
      <c r="N115" s="96">
        <f>L115+M115</f>
        <v>262.63800000000003</v>
      </c>
      <c r="O115" s="27">
        <f>K115-T115</f>
        <v>31</v>
      </c>
      <c r="P115" s="28">
        <f>T114-L115</f>
        <v>757.76</v>
      </c>
      <c r="Q115" s="106"/>
      <c r="R115" s="106"/>
      <c r="S115" t="s">
        <v>63</v>
      </c>
      <c r="T115" s="98">
        <v>40415</v>
      </c>
    </row>
    <row r="116" spans="1:20" ht="15.75" thickBot="1">
      <c r="A116" s="118"/>
      <c r="B116" t="s">
        <v>92</v>
      </c>
      <c r="J116" s="92">
        <v>2</v>
      </c>
      <c r="K116" s="93">
        <v>40478</v>
      </c>
      <c r="L116" s="115">
        <f>N116-M116</f>
        <v>246.67460543999999</v>
      </c>
      <c r="M116" s="95">
        <f>P115*O116*T116</f>
        <v>15.955394559999998</v>
      </c>
      <c r="N116" s="96">
        <v>262.63</v>
      </c>
      <c r="O116" s="27">
        <f>K116-K115</f>
        <v>32</v>
      </c>
      <c r="P116" s="28">
        <f>P115-L116</f>
        <v>511.08539456</v>
      </c>
      <c r="Q116" s="106"/>
      <c r="R116" s="106"/>
      <c r="S116" t="s">
        <v>72</v>
      </c>
      <c r="T116" s="99">
        <v>6.5799999999999995E-4</v>
      </c>
    </row>
    <row r="117" spans="1:20" ht="15.75" thickBot="1">
      <c r="A117" s="113"/>
      <c r="B117" t="s">
        <v>117</v>
      </c>
      <c r="J117" s="92">
        <v>3</v>
      </c>
      <c r="K117" s="93">
        <v>40507</v>
      </c>
      <c r="L117" s="115">
        <f>P116-P117</f>
        <v>253.21539455999999</v>
      </c>
      <c r="M117" s="95">
        <f>P116*O117*T116</f>
        <v>9.7525314989939194</v>
      </c>
      <c r="N117" s="96">
        <f>M117+L117</f>
        <v>262.9679260589939</v>
      </c>
      <c r="O117" s="27">
        <f t="shared" ref="O117:O118" si="12">K117-K116</f>
        <v>29</v>
      </c>
      <c r="P117" s="28">
        <v>257.87</v>
      </c>
      <c r="Q117" s="106"/>
      <c r="R117" s="106"/>
      <c r="S117" t="s">
        <v>73</v>
      </c>
      <c r="T117">
        <f>T116*365/12</f>
        <v>2.0014166666666666E-2</v>
      </c>
    </row>
    <row r="118" spans="1:20" ht="15.75" thickBot="1">
      <c r="A118" s="113"/>
      <c r="B118" t="s">
        <v>118</v>
      </c>
      <c r="J118" s="92">
        <v>4</v>
      </c>
      <c r="K118" s="93">
        <v>40537</v>
      </c>
      <c r="L118" s="92">
        <v>257.87</v>
      </c>
      <c r="M118" s="95">
        <f>P117*O118*T116</f>
        <v>5.0903537999999999</v>
      </c>
      <c r="N118" s="96">
        <f>M118+L118</f>
        <v>262.96035380000001</v>
      </c>
      <c r="O118" s="27">
        <f t="shared" si="12"/>
        <v>30</v>
      </c>
      <c r="P118" s="28">
        <f>P117-L118</f>
        <v>0</v>
      </c>
      <c r="Q118" s="106"/>
      <c r="R118" s="106"/>
      <c r="S118" s="106"/>
      <c r="T118" s="106"/>
    </row>
    <row r="119" spans="1:20">
      <c r="A119" s="113"/>
      <c r="B119" s="113" t="s">
        <v>120</v>
      </c>
      <c r="C119" s="113"/>
      <c r="D119" s="113"/>
      <c r="E119" s="110"/>
      <c r="F119" s="111"/>
      <c r="G119" s="110"/>
      <c r="H119" s="109"/>
      <c r="I119" s="112"/>
      <c r="J119" s="110"/>
      <c r="K119" s="109"/>
      <c r="L119" s="25">
        <f>SUM(L115:L118)</f>
        <v>1000</v>
      </c>
      <c r="M119" s="157">
        <f>SUM(M115:M118)</f>
        <v>51.196279858993918</v>
      </c>
      <c r="N119" s="157">
        <f>SUM(N115:N118)</f>
        <v>1051.1962798589939</v>
      </c>
      <c r="O119" s="119"/>
      <c r="P119" s="106"/>
      <c r="Q119" s="106"/>
      <c r="R119" s="106"/>
      <c r="S119" s="106"/>
      <c r="T119" s="106"/>
    </row>
    <row r="120" spans="1:20">
      <c r="B120" s="113" t="s">
        <v>119</v>
      </c>
    </row>
    <row r="123" spans="1:20" s="134" customFormat="1">
      <c r="A123" s="133"/>
      <c r="H123" s="135"/>
      <c r="S123" s="135"/>
    </row>
    <row r="124" spans="1:20" s="134" customFormat="1" ht="15.75" thickBot="1">
      <c r="A124" s="133" t="s">
        <v>121</v>
      </c>
      <c r="B124" s="134" t="s">
        <v>122</v>
      </c>
      <c r="H124" s="135"/>
      <c r="S124" s="135"/>
    </row>
    <row r="125" spans="1:20" s="134" customFormat="1" ht="15.75" thickBot="1">
      <c r="A125" s="133"/>
      <c r="H125" s="135"/>
      <c r="J125" s="136" t="s">
        <v>56</v>
      </c>
      <c r="K125" s="137" t="s">
        <v>57</v>
      </c>
      <c r="L125" s="137" t="s">
        <v>58</v>
      </c>
      <c r="M125" s="138" t="s">
        <v>59</v>
      </c>
      <c r="N125" s="139" t="s">
        <v>5</v>
      </c>
      <c r="O125" s="140" t="s">
        <v>60</v>
      </c>
      <c r="P125" s="141" t="s">
        <v>61</v>
      </c>
      <c r="S125" s="134" t="s">
        <v>62</v>
      </c>
      <c r="T125" s="142">
        <v>1000</v>
      </c>
    </row>
    <row r="126" spans="1:20" s="134" customFormat="1" ht="15.75" thickBot="1">
      <c r="A126" s="155"/>
      <c r="B126" s="134" t="s">
        <v>75</v>
      </c>
      <c r="H126" s="135"/>
      <c r="J126" s="143">
        <v>1</v>
      </c>
      <c r="K126" s="144">
        <v>40446</v>
      </c>
      <c r="L126" s="145">
        <v>242.24</v>
      </c>
      <c r="M126" s="146">
        <f>T125*T127*O126</f>
        <v>20.397999999999996</v>
      </c>
      <c r="N126" s="145">
        <f>L126+M126</f>
        <v>262.63800000000003</v>
      </c>
      <c r="O126" s="147">
        <f>K126-T126</f>
        <v>31</v>
      </c>
      <c r="P126" s="148">
        <f>T125-L126</f>
        <v>757.76</v>
      </c>
      <c r="S126" s="134" t="s">
        <v>63</v>
      </c>
      <c r="T126" s="149">
        <v>40415</v>
      </c>
    </row>
    <row r="127" spans="1:20" s="134" customFormat="1" ht="15.75" thickBot="1">
      <c r="A127" s="156"/>
      <c r="B127" s="134" t="s">
        <v>92</v>
      </c>
      <c r="H127" s="135"/>
      <c r="J127" s="143">
        <v>2</v>
      </c>
      <c r="K127" s="144">
        <v>40473</v>
      </c>
      <c r="L127" s="150">
        <f>N127-M127</f>
        <v>249.16763584</v>
      </c>
      <c r="M127" s="146">
        <f>P126*O127*T127</f>
        <v>13.46236416</v>
      </c>
      <c r="N127" s="145">
        <v>262.63</v>
      </c>
      <c r="O127" s="147">
        <f>K127-K126</f>
        <v>27</v>
      </c>
      <c r="P127" s="148">
        <f>P126-L127</f>
        <v>508.59236415999999</v>
      </c>
      <c r="S127" s="134" t="s">
        <v>72</v>
      </c>
      <c r="T127" s="151">
        <v>6.5799999999999995E-4</v>
      </c>
    </row>
    <row r="128" spans="1:20" s="134" customFormat="1" ht="15.75" thickBot="1">
      <c r="A128" s="153"/>
      <c r="B128" s="134" t="s">
        <v>123</v>
      </c>
      <c r="H128" s="135"/>
      <c r="J128" s="143">
        <v>3</v>
      </c>
      <c r="K128" s="144">
        <v>40507</v>
      </c>
      <c r="L128" s="150">
        <f>P127-P128</f>
        <v>250.72236415999998</v>
      </c>
      <c r="M128" s="146">
        <f>P127*O128*T127</f>
        <v>11.37822837098752</v>
      </c>
      <c r="N128" s="145">
        <f>M128+L128</f>
        <v>262.10059253098751</v>
      </c>
      <c r="O128" s="147">
        <f t="shared" ref="O128:O129" si="13">K128-K127</f>
        <v>34</v>
      </c>
      <c r="P128" s="148">
        <v>257.87</v>
      </c>
      <c r="S128" s="134" t="s">
        <v>73</v>
      </c>
      <c r="T128" s="134">
        <f>T127*365/12</f>
        <v>2.0014166666666666E-2</v>
      </c>
    </row>
    <row r="129" spans="1:20" s="134" customFormat="1" ht="15.75" thickBot="1">
      <c r="A129" s="153"/>
      <c r="B129" s="134" t="s">
        <v>124</v>
      </c>
      <c r="H129" s="135"/>
      <c r="J129" s="143">
        <v>4</v>
      </c>
      <c r="K129" s="144">
        <v>40537</v>
      </c>
      <c r="L129" s="143">
        <v>257.87</v>
      </c>
      <c r="M129" s="146">
        <f>P128*O129*T127</f>
        <v>5.0903537999999999</v>
      </c>
      <c r="N129" s="145">
        <f>M129+L129</f>
        <v>262.96035380000001</v>
      </c>
      <c r="O129" s="147">
        <f t="shared" si="13"/>
        <v>30</v>
      </c>
      <c r="P129" s="148">
        <f>P128-L129</f>
        <v>0</v>
      </c>
    </row>
    <row r="130" spans="1:20" s="134" customFormat="1">
      <c r="A130" s="153"/>
      <c r="B130" s="153" t="s">
        <v>120</v>
      </c>
      <c r="C130" s="153"/>
      <c r="D130" s="153"/>
      <c r="E130" s="158"/>
      <c r="F130" s="159"/>
      <c r="G130" s="158"/>
      <c r="H130" s="154"/>
      <c r="I130" s="160"/>
      <c r="J130" s="158"/>
      <c r="K130" s="154"/>
      <c r="L130" s="157">
        <f>SUM(L126:L129)</f>
        <v>1000</v>
      </c>
      <c r="M130" s="157">
        <f>SUM(M126:M129)</f>
        <v>50.32894633098752</v>
      </c>
      <c r="N130" s="157">
        <f>SUM(N126:N129)</f>
        <v>1050.3289463309875</v>
      </c>
      <c r="O130" s="161"/>
    </row>
    <row r="131" spans="1:20" s="134" customFormat="1">
      <c r="A131" s="133"/>
      <c r="B131" s="153" t="s">
        <v>119</v>
      </c>
      <c r="H131" s="135"/>
      <c r="S131" s="135"/>
    </row>
    <row r="132" spans="1:20" s="134" customFormat="1">
      <c r="A132" s="133"/>
      <c r="H132" s="135"/>
      <c r="S132" s="135"/>
    </row>
    <row r="134" spans="1:20" ht="15.75" thickBot="1">
      <c r="A134" s="105" t="s">
        <v>125</v>
      </c>
      <c r="B134" t="s">
        <v>126</v>
      </c>
      <c r="Q134" s="106"/>
      <c r="R134" s="106"/>
      <c r="S134" s="107"/>
      <c r="T134" s="106"/>
    </row>
    <row r="135" spans="1:20" ht="15.75" thickBot="1">
      <c r="A135" s="105"/>
      <c r="J135" s="86" t="s">
        <v>56</v>
      </c>
      <c r="K135" s="87" t="s">
        <v>57</v>
      </c>
      <c r="L135" s="87" t="s">
        <v>58</v>
      </c>
      <c r="M135" s="88" t="s">
        <v>59</v>
      </c>
      <c r="N135" s="89" t="s">
        <v>5</v>
      </c>
      <c r="O135" s="90" t="s">
        <v>60</v>
      </c>
      <c r="P135" s="91" t="s">
        <v>61</v>
      </c>
      <c r="Q135" s="106"/>
      <c r="R135" s="106"/>
      <c r="S135" t="s">
        <v>62</v>
      </c>
      <c r="T135" s="97">
        <v>1000</v>
      </c>
    </row>
    <row r="136" spans="1:20" ht="15.75" thickBot="1">
      <c r="A136" s="108"/>
      <c r="B136" t="s">
        <v>75</v>
      </c>
      <c r="J136" s="92">
        <v>1</v>
      </c>
      <c r="K136" s="93">
        <v>40446</v>
      </c>
      <c r="L136" s="96">
        <v>242.24</v>
      </c>
      <c r="M136" s="95">
        <f>T135*T137*O136</f>
        <v>20.397999999999996</v>
      </c>
      <c r="N136" s="96">
        <f>L136+M136</f>
        <v>262.63800000000003</v>
      </c>
      <c r="O136" s="27">
        <f>K136-T136</f>
        <v>31</v>
      </c>
      <c r="P136" s="28">
        <f>T135-L136</f>
        <v>757.76</v>
      </c>
      <c r="Q136" s="106"/>
      <c r="R136" s="106"/>
      <c r="S136" t="s">
        <v>63</v>
      </c>
      <c r="T136" s="98">
        <v>40415</v>
      </c>
    </row>
    <row r="137" spans="1:20" ht="15.75" thickBot="1">
      <c r="A137" s="118"/>
      <c r="B137" t="s">
        <v>92</v>
      </c>
      <c r="J137" s="92">
        <v>2</v>
      </c>
      <c r="K137" s="93">
        <v>40476</v>
      </c>
      <c r="L137" s="115">
        <f>N137-M137</f>
        <v>247.6718176</v>
      </c>
      <c r="M137" s="95">
        <f>P136*O137*T137</f>
        <v>14.958182399999998</v>
      </c>
      <c r="N137" s="96">
        <v>262.63</v>
      </c>
      <c r="O137" s="27">
        <f>K137-K136</f>
        <v>30</v>
      </c>
      <c r="P137" s="28">
        <f>P136-L137</f>
        <v>510.08818239999999</v>
      </c>
      <c r="Q137" s="106"/>
      <c r="R137" s="106"/>
      <c r="S137" t="s">
        <v>72</v>
      </c>
      <c r="T137" s="99">
        <v>6.5799999999999995E-4</v>
      </c>
    </row>
    <row r="138" spans="1:20" ht="15.75" thickBot="1">
      <c r="A138" s="113"/>
      <c r="B138" t="s">
        <v>127</v>
      </c>
      <c r="J138" s="92">
        <v>3</v>
      </c>
      <c r="K138" s="93">
        <v>40507</v>
      </c>
      <c r="L138" s="115">
        <f>P137-P138</f>
        <v>252.21818239999999</v>
      </c>
      <c r="M138" s="95">
        <f>P137*O138*T137</f>
        <v>10.404778744595198</v>
      </c>
      <c r="N138" s="96">
        <f>M138+L138</f>
        <v>262.62296114459519</v>
      </c>
      <c r="O138" s="27">
        <f t="shared" ref="O138:O139" si="14">K138-K137</f>
        <v>31</v>
      </c>
      <c r="P138" s="28">
        <v>257.87</v>
      </c>
      <c r="Q138" s="106"/>
      <c r="R138" s="106"/>
      <c r="S138" t="s">
        <v>73</v>
      </c>
      <c r="T138">
        <f>T137*365/12</f>
        <v>2.0014166666666666E-2</v>
      </c>
    </row>
    <row r="139" spans="1:20" ht="15.75" thickBot="1">
      <c r="A139" s="113"/>
      <c r="B139" t="s">
        <v>112</v>
      </c>
      <c r="J139" s="92">
        <v>4</v>
      </c>
      <c r="K139" s="93">
        <v>40537</v>
      </c>
      <c r="L139" s="92">
        <v>257.87</v>
      </c>
      <c r="M139" s="95">
        <f>P138*O139*T137</f>
        <v>5.0903537999999999</v>
      </c>
      <c r="N139" s="96">
        <f>M139+L139</f>
        <v>262.96035380000001</v>
      </c>
      <c r="O139" s="27">
        <f t="shared" si="14"/>
        <v>30</v>
      </c>
      <c r="P139" s="28">
        <f>P138-L139</f>
        <v>0</v>
      </c>
      <c r="Q139" s="106"/>
      <c r="R139" s="106"/>
      <c r="S139" s="106"/>
      <c r="T139" s="106"/>
    </row>
    <row r="140" spans="1:20">
      <c r="A140" s="113"/>
      <c r="B140" s="113" t="s">
        <v>128</v>
      </c>
      <c r="C140" s="113"/>
      <c r="D140" s="113"/>
      <c r="E140" s="110"/>
      <c r="F140" s="111"/>
      <c r="G140" s="110"/>
      <c r="H140" s="109"/>
      <c r="I140" s="112"/>
      <c r="J140" s="110"/>
      <c r="K140" s="109"/>
      <c r="L140" s="25">
        <f>SUM(L136:L139)</f>
        <v>1000</v>
      </c>
      <c r="M140" s="157">
        <f>SUM(M136:M139)</f>
        <v>50.851314944595195</v>
      </c>
      <c r="N140" s="157">
        <f>SUM(N136:N139)</f>
        <v>1050.8513149445953</v>
      </c>
      <c r="O140" s="119"/>
      <c r="P140" s="106"/>
      <c r="Q140" s="106"/>
      <c r="R140" s="106"/>
      <c r="S140" s="106"/>
      <c r="T140" s="106"/>
    </row>
    <row r="141" spans="1:20">
      <c r="B141" s="113" t="s">
        <v>114</v>
      </c>
    </row>
    <row r="143" spans="1:20" s="134" customFormat="1">
      <c r="A143" s="133"/>
      <c r="H143" s="135"/>
      <c r="S143" s="135"/>
    </row>
    <row r="144" spans="1:20" s="134" customFormat="1" ht="15.75" thickBot="1">
      <c r="A144" s="133" t="s">
        <v>136</v>
      </c>
      <c r="B144" s="134" t="s">
        <v>129</v>
      </c>
      <c r="H144" s="135"/>
      <c r="S144" s="135"/>
    </row>
    <row r="145" spans="1:20" s="134" customFormat="1" ht="15.75" thickBot="1">
      <c r="A145" s="133"/>
      <c r="H145" s="135"/>
      <c r="J145" s="136" t="s">
        <v>56</v>
      </c>
      <c r="K145" s="137" t="s">
        <v>57</v>
      </c>
      <c r="L145" s="137" t="s">
        <v>58</v>
      </c>
      <c r="M145" s="138" t="s">
        <v>59</v>
      </c>
      <c r="N145" s="139" t="s">
        <v>5</v>
      </c>
      <c r="O145" s="140" t="s">
        <v>60</v>
      </c>
      <c r="P145" s="141" t="s">
        <v>61</v>
      </c>
      <c r="S145" s="134" t="s">
        <v>62</v>
      </c>
      <c r="T145" s="142">
        <v>1000</v>
      </c>
    </row>
    <row r="146" spans="1:20" s="134" customFormat="1" ht="15.75" thickBot="1">
      <c r="A146" s="155"/>
      <c r="B146" s="134" t="s">
        <v>75</v>
      </c>
      <c r="H146" s="135"/>
      <c r="J146" s="143">
        <v>1</v>
      </c>
      <c r="K146" s="144">
        <v>40446</v>
      </c>
      <c r="L146" s="145">
        <v>242.24</v>
      </c>
      <c r="M146" s="146">
        <f>T145*T147*O146</f>
        <v>20.397999999999996</v>
      </c>
      <c r="N146" s="145">
        <f>L146+M146</f>
        <v>262.63800000000003</v>
      </c>
      <c r="O146" s="147">
        <f>K146-T146</f>
        <v>31</v>
      </c>
      <c r="P146" s="148">
        <f>T145-L146</f>
        <v>757.76</v>
      </c>
      <c r="S146" s="134" t="s">
        <v>63</v>
      </c>
      <c r="T146" s="149">
        <v>40415</v>
      </c>
    </row>
    <row r="147" spans="1:20" s="134" customFormat="1" ht="15.75" thickBot="1">
      <c r="A147" s="156"/>
      <c r="B147" s="134" t="s">
        <v>92</v>
      </c>
      <c r="H147" s="135"/>
      <c r="J147" s="143">
        <v>2</v>
      </c>
      <c r="K147" s="144">
        <v>40476</v>
      </c>
      <c r="L147" s="150">
        <f>N147-M147</f>
        <v>247.6718176</v>
      </c>
      <c r="M147" s="146">
        <f>P146*O147*T147</f>
        <v>14.958182399999998</v>
      </c>
      <c r="N147" s="145">
        <v>262.63</v>
      </c>
      <c r="O147" s="147">
        <f>K147-K146</f>
        <v>30</v>
      </c>
      <c r="P147" s="148">
        <f>P146-L147</f>
        <v>510.08818239999999</v>
      </c>
      <c r="S147" s="134" t="s">
        <v>72</v>
      </c>
      <c r="T147" s="151">
        <v>6.5799999999999995E-4</v>
      </c>
    </row>
    <row r="148" spans="1:20" s="134" customFormat="1" ht="15.75" thickBot="1">
      <c r="A148" s="153"/>
      <c r="B148" s="134" t="s">
        <v>130</v>
      </c>
      <c r="H148" s="135"/>
      <c r="J148" s="143">
        <v>3</v>
      </c>
      <c r="K148" s="144">
        <v>40507</v>
      </c>
      <c r="L148" s="150">
        <f>P147-P148</f>
        <v>252.21818239999999</v>
      </c>
      <c r="M148" s="146">
        <f>P147*O148*T147</f>
        <v>10.404778744595198</v>
      </c>
      <c r="N148" s="145">
        <f>M148+L148</f>
        <v>262.62296114459519</v>
      </c>
      <c r="O148" s="147">
        <f t="shared" ref="O148:O149" si="15">K148-K147</f>
        <v>31</v>
      </c>
      <c r="P148" s="148">
        <v>257.87</v>
      </c>
      <c r="S148" s="134" t="s">
        <v>73</v>
      </c>
      <c r="T148" s="134">
        <f>T147*365/12</f>
        <v>2.0014166666666666E-2</v>
      </c>
    </row>
    <row r="149" spans="1:20" s="134" customFormat="1" ht="15.75" thickBot="1">
      <c r="A149" s="153"/>
      <c r="B149" s="134" t="s">
        <v>131</v>
      </c>
      <c r="H149" s="135"/>
      <c r="J149" s="143">
        <v>4</v>
      </c>
      <c r="K149" s="144">
        <v>40537</v>
      </c>
      <c r="L149" s="143">
        <v>257.87</v>
      </c>
      <c r="M149" s="146">
        <f>P148*O149*T147</f>
        <v>5.0903537999999999</v>
      </c>
      <c r="N149" s="145">
        <f>M149+L149</f>
        <v>262.96035380000001</v>
      </c>
      <c r="O149" s="147">
        <f t="shared" si="15"/>
        <v>30</v>
      </c>
      <c r="P149" s="148">
        <f>P148-L149</f>
        <v>0</v>
      </c>
    </row>
    <row r="150" spans="1:20" s="134" customFormat="1">
      <c r="A150" s="153"/>
      <c r="B150" s="134" t="s">
        <v>132</v>
      </c>
      <c r="C150" s="153"/>
      <c r="D150" s="153"/>
      <c r="E150" s="158"/>
      <c r="F150" s="159"/>
      <c r="G150" s="158"/>
      <c r="H150" s="154"/>
      <c r="I150" s="160"/>
      <c r="J150" s="158"/>
      <c r="K150" s="154"/>
      <c r="L150" s="157">
        <f>SUM(L146:L149)</f>
        <v>1000</v>
      </c>
      <c r="M150" s="157">
        <f>SUM(M146:M149)</f>
        <v>50.851314944595195</v>
      </c>
      <c r="N150" s="157">
        <f>SUM(N146:N149)</f>
        <v>1050.8513149445953</v>
      </c>
      <c r="O150" s="161"/>
    </row>
    <row r="151" spans="1:20" s="134" customFormat="1">
      <c r="A151" s="133"/>
      <c r="B151" s="134" t="s">
        <v>133</v>
      </c>
      <c r="H151" s="135"/>
      <c r="S151" s="135"/>
    </row>
    <row r="152" spans="1:20" s="134" customFormat="1">
      <c r="A152" s="133"/>
      <c r="B152" s="153" t="s">
        <v>134</v>
      </c>
      <c r="H152" s="135"/>
      <c r="S152" s="135"/>
    </row>
    <row r="153" spans="1:20" s="134" customFormat="1">
      <c r="A153" s="133"/>
      <c r="B153" s="153" t="s">
        <v>135</v>
      </c>
      <c r="H153" s="135"/>
      <c r="S153" s="135"/>
    </row>
    <row r="154" spans="1:20" s="134" customFormat="1">
      <c r="A154" s="133"/>
      <c r="H154" s="135"/>
      <c r="S154" s="135"/>
    </row>
    <row r="156" spans="1:20" ht="15.75" thickBot="1">
      <c r="A156" s="105" t="s">
        <v>137</v>
      </c>
      <c r="B156" t="s">
        <v>129</v>
      </c>
      <c r="Q156" s="106"/>
      <c r="R156" s="106"/>
      <c r="S156" s="107"/>
      <c r="T156" s="106"/>
    </row>
    <row r="157" spans="1:20" ht="15.75" thickBot="1">
      <c r="A157" s="105"/>
      <c r="J157" s="86" t="s">
        <v>56</v>
      </c>
      <c r="K157" s="87" t="s">
        <v>57</v>
      </c>
      <c r="L157" s="87" t="s">
        <v>58</v>
      </c>
      <c r="M157" s="88" t="s">
        <v>59</v>
      </c>
      <c r="N157" s="89" t="s">
        <v>5</v>
      </c>
      <c r="O157" s="90" t="s">
        <v>60</v>
      </c>
      <c r="P157" s="91" t="s">
        <v>61</v>
      </c>
      <c r="Q157" s="106"/>
      <c r="R157" s="106"/>
      <c r="S157" t="s">
        <v>62</v>
      </c>
      <c r="T157" s="97">
        <v>1000</v>
      </c>
    </row>
    <row r="158" spans="1:20" ht="15.75" thickBot="1">
      <c r="A158" s="108"/>
      <c r="B158" t="s">
        <v>75</v>
      </c>
      <c r="J158" s="92">
        <v>1</v>
      </c>
      <c r="K158" s="93">
        <v>40446</v>
      </c>
      <c r="L158" s="96">
        <v>242.24</v>
      </c>
      <c r="M158" s="95">
        <f>T157*T159*O158</f>
        <v>20.397999999999996</v>
      </c>
      <c r="N158" s="96">
        <f>L158+M158</f>
        <v>262.63800000000003</v>
      </c>
      <c r="O158" s="27">
        <f>K158-T158</f>
        <v>31</v>
      </c>
      <c r="P158" s="28">
        <f>T157-L158</f>
        <v>757.76</v>
      </c>
      <c r="Q158" s="106"/>
      <c r="R158" s="106"/>
      <c r="S158" t="s">
        <v>63</v>
      </c>
      <c r="T158" s="98">
        <v>40415</v>
      </c>
    </row>
    <row r="159" spans="1:20" ht="15.75" thickBot="1">
      <c r="A159" s="118"/>
      <c r="B159" t="s">
        <v>92</v>
      </c>
      <c r="J159" s="92">
        <v>2</v>
      </c>
      <c r="K159" s="93">
        <v>40480</v>
      </c>
      <c r="L159" s="115">
        <f>N159-M159</f>
        <v>245.67739327999999</v>
      </c>
      <c r="M159" s="95">
        <f>P158*O159*T159</f>
        <v>16.952606719999999</v>
      </c>
      <c r="N159" s="96">
        <v>262.63</v>
      </c>
      <c r="O159" s="27">
        <f>K159-K158</f>
        <v>34</v>
      </c>
      <c r="P159" s="28">
        <f>P158-L159</f>
        <v>512.08260672000006</v>
      </c>
      <c r="Q159" s="106"/>
      <c r="R159" s="106"/>
      <c r="S159" t="s">
        <v>72</v>
      </c>
      <c r="T159" s="99">
        <v>6.5799999999999995E-4</v>
      </c>
    </row>
    <row r="160" spans="1:20" ht="15.75" thickBot="1">
      <c r="A160" s="113"/>
      <c r="B160" t="s">
        <v>130</v>
      </c>
      <c r="J160" s="92">
        <v>3</v>
      </c>
      <c r="K160" s="93">
        <v>40507</v>
      </c>
      <c r="L160" s="115">
        <f>N160-M160</f>
        <v>253.52234040901249</v>
      </c>
      <c r="M160" s="95">
        <f>P159*O160*T159</f>
        <v>9.0976595909875204</v>
      </c>
      <c r="N160" s="96">
        <v>262.62</v>
      </c>
      <c r="O160" s="27">
        <f t="shared" ref="O160:O161" si="16">K160-K159</f>
        <v>27</v>
      </c>
      <c r="P160" s="28">
        <f>P159-L160</f>
        <v>258.56026631098757</v>
      </c>
      <c r="Q160" s="106"/>
      <c r="R160" s="106"/>
      <c r="S160" t="s">
        <v>73</v>
      </c>
      <c r="T160">
        <f>T159*365/12</f>
        <v>2.0014166666666666E-2</v>
      </c>
    </row>
    <row r="161" spans="1:20" ht="15.75" thickBot="1">
      <c r="A161" s="113"/>
      <c r="B161" t="s">
        <v>131</v>
      </c>
      <c r="J161" s="92">
        <v>4</v>
      </c>
      <c r="K161" s="93">
        <v>40537</v>
      </c>
      <c r="L161" s="115">
        <f>P160</f>
        <v>258.56026631098757</v>
      </c>
      <c r="M161" s="95">
        <f>P160*O161*T159</f>
        <v>5.1039796569788942</v>
      </c>
      <c r="N161" s="96">
        <f>M161+L161</f>
        <v>263.66424596796645</v>
      </c>
      <c r="O161" s="27">
        <f t="shared" si="16"/>
        <v>30</v>
      </c>
      <c r="P161" s="28">
        <v>0</v>
      </c>
      <c r="Q161" s="106"/>
      <c r="R161" s="106"/>
      <c r="S161" s="106"/>
      <c r="T161" s="106"/>
    </row>
    <row r="162" spans="1:20">
      <c r="A162" s="113"/>
      <c r="B162" t="s">
        <v>132</v>
      </c>
      <c r="C162" s="113"/>
      <c r="D162" s="113"/>
      <c r="E162" s="110"/>
      <c r="F162" s="111"/>
      <c r="G162" s="110"/>
      <c r="H162" s="109"/>
      <c r="I162" s="112"/>
      <c r="J162" s="110"/>
      <c r="K162" s="109"/>
      <c r="L162" s="25">
        <f>SUM(L158:L161)</f>
        <v>1000</v>
      </c>
      <c r="M162" s="157">
        <f>SUM(M158:M161)</f>
        <v>51.552245967966407</v>
      </c>
      <c r="N162" s="157">
        <f>SUM(N158:N161)</f>
        <v>1051.5522459679664</v>
      </c>
      <c r="O162" s="119"/>
      <c r="P162" s="106"/>
      <c r="Q162" s="106"/>
      <c r="R162" s="106"/>
      <c r="S162" s="106"/>
      <c r="T162" s="106"/>
    </row>
    <row r="163" spans="1:20">
      <c r="B163" t="s">
        <v>138</v>
      </c>
    </row>
    <row r="164" spans="1:20">
      <c r="B164" s="113" t="s">
        <v>134</v>
      </c>
    </row>
    <row r="165" spans="1:20">
      <c r="B165" s="113" t="s">
        <v>139</v>
      </c>
    </row>
    <row r="167" spans="1:20" s="134" customFormat="1">
      <c r="A167" s="133"/>
      <c r="H167" s="135"/>
      <c r="S167" s="135"/>
    </row>
    <row r="168" spans="1:20" s="134" customFormat="1" ht="15.75" thickBot="1">
      <c r="A168" s="133" t="s">
        <v>140</v>
      </c>
      <c r="B168" s="134" t="s">
        <v>141</v>
      </c>
      <c r="H168" s="135"/>
      <c r="S168" s="135"/>
    </row>
    <row r="169" spans="1:20" s="134" customFormat="1" ht="15.75" thickBot="1">
      <c r="A169" s="133"/>
      <c r="H169" s="135"/>
      <c r="J169" s="136" t="s">
        <v>56</v>
      </c>
      <c r="K169" s="137" t="s">
        <v>57</v>
      </c>
      <c r="L169" s="137" t="s">
        <v>58</v>
      </c>
      <c r="M169" s="138" t="s">
        <v>59</v>
      </c>
      <c r="N169" s="139" t="s">
        <v>5</v>
      </c>
      <c r="O169" s="140" t="s">
        <v>60</v>
      </c>
      <c r="P169" s="141" t="s">
        <v>61</v>
      </c>
      <c r="S169" s="134" t="s">
        <v>62</v>
      </c>
      <c r="T169" s="142">
        <v>1000</v>
      </c>
    </row>
    <row r="170" spans="1:20" s="134" customFormat="1" ht="15.75" thickBot="1">
      <c r="A170" s="155"/>
      <c r="B170" s="134" t="s">
        <v>75</v>
      </c>
      <c r="H170" s="135"/>
      <c r="J170" s="143">
        <v>1</v>
      </c>
      <c r="K170" s="144">
        <v>40446</v>
      </c>
      <c r="L170" s="145">
        <v>242.24</v>
      </c>
      <c r="M170" s="146">
        <f>T169*T171*O170</f>
        <v>20.397999999999996</v>
      </c>
      <c r="N170" s="145">
        <f>L170+M170</f>
        <v>262.63800000000003</v>
      </c>
      <c r="O170" s="147">
        <f>K170-T170</f>
        <v>31</v>
      </c>
      <c r="P170" s="148">
        <f>T169-L170</f>
        <v>757.76</v>
      </c>
      <c r="S170" s="134" t="s">
        <v>63</v>
      </c>
      <c r="T170" s="149">
        <v>40415</v>
      </c>
    </row>
    <row r="171" spans="1:20" s="134" customFormat="1" ht="15.75" thickBot="1">
      <c r="A171" s="156"/>
      <c r="B171" s="134" t="s">
        <v>92</v>
      </c>
      <c r="H171" s="135"/>
      <c r="J171" s="143">
        <v>2</v>
      </c>
      <c r="K171" s="144">
        <v>40476</v>
      </c>
      <c r="L171" s="150">
        <f>P170-P171</f>
        <v>247.67000000000002</v>
      </c>
      <c r="M171" s="146">
        <f>P170*O171*T171</f>
        <v>14.958182399999998</v>
      </c>
      <c r="N171" s="145">
        <f>M171+L171</f>
        <v>262.62818240000001</v>
      </c>
      <c r="O171" s="147">
        <f>K171-K170</f>
        <v>30</v>
      </c>
      <c r="P171" s="148">
        <f>510.09</f>
        <v>510.09</v>
      </c>
      <c r="S171" s="134" t="s">
        <v>72</v>
      </c>
      <c r="T171" s="151">
        <v>6.5799999999999995E-4</v>
      </c>
    </row>
    <row r="172" spans="1:20" s="134" customFormat="1" ht="15.75" thickBot="1">
      <c r="A172" s="153"/>
      <c r="B172" s="134" t="s">
        <v>147</v>
      </c>
      <c r="H172" s="135"/>
      <c r="J172" s="143">
        <v>3</v>
      </c>
      <c r="K172" s="144">
        <v>40507</v>
      </c>
      <c r="L172" s="143">
        <v>252.22</v>
      </c>
      <c r="M172" s="146">
        <f>P171*O172*T171</f>
        <v>10.404815819999998</v>
      </c>
      <c r="N172" s="145">
        <f>M172+L172</f>
        <v>262.62481581999998</v>
      </c>
      <c r="O172" s="147">
        <f t="shared" ref="O172:O173" si="17">K172-K171</f>
        <v>31</v>
      </c>
      <c r="P172" s="148">
        <f>P171-L172</f>
        <v>257.87</v>
      </c>
      <c r="S172" s="134" t="s">
        <v>73</v>
      </c>
      <c r="T172" s="134">
        <f>T171*365/12</f>
        <v>2.0014166666666666E-2</v>
      </c>
    </row>
    <row r="173" spans="1:20" s="134" customFormat="1" ht="15.75" thickBot="1">
      <c r="A173" s="153"/>
      <c r="B173" s="134" t="s">
        <v>148</v>
      </c>
      <c r="H173" s="135"/>
      <c r="J173" s="143">
        <v>4</v>
      </c>
      <c r="K173" s="144">
        <v>40537</v>
      </c>
      <c r="L173" s="143">
        <v>257.87</v>
      </c>
      <c r="M173" s="146">
        <f>P172*O173*T171</f>
        <v>5.0903537999999999</v>
      </c>
      <c r="N173" s="145">
        <f>M173+L173</f>
        <v>262.96035380000001</v>
      </c>
      <c r="O173" s="147">
        <f t="shared" si="17"/>
        <v>30</v>
      </c>
      <c r="P173" s="148">
        <f>P172-L173</f>
        <v>0</v>
      </c>
    </row>
    <row r="174" spans="1:20" s="134" customFormat="1">
      <c r="A174" s="153"/>
      <c r="B174" s="134" t="s">
        <v>204</v>
      </c>
      <c r="C174" s="153"/>
      <c r="D174" s="153"/>
      <c r="E174" s="158"/>
      <c r="F174" s="159"/>
      <c r="G174" s="158"/>
      <c r="H174" s="154"/>
      <c r="I174" s="160"/>
      <c r="J174" s="158"/>
      <c r="K174" s="154"/>
      <c r="L174" s="157">
        <f>SUM(L170:L173)</f>
        <v>1000</v>
      </c>
      <c r="M174" s="157">
        <f>SUM(M170:M173)</f>
        <v>50.851352019999993</v>
      </c>
      <c r="N174" s="157">
        <f>SUM(N170:N173)</f>
        <v>1050.8513520199999</v>
      </c>
      <c r="O174" s="161"/>
    </row>
    <row r="175" spans="1:20" s="134" customFormat="1">
      <c r="A175" s="133"/>
      <c r="B175" s="134" t="s">
        <v>142</v>
      </c>
      <c r="H175" s="135"/>
      <c r="S175" s="135"/>
    </row>
    <row r="176" spans="1:20" s="134" customFormat="1">
      <c r="A176" s="133"/>
      <c r="H176" s="135"/>
      <c r="S176" s="135"/>
    </row>
    <row r="178" spans="1:20" ht="15.75" thickBot="1">
      <c r="A178" s="105" t="s">
        <v>143</v>
      </c>
      <c r="B178" t="s">
        <v>144</v>
      </c>
      <c r="Q178" s="106"/>
      <c r="R178" s="106"/>
      <c r="S178" s="107"/>
      <c r="T178" s="106"/>
    </row>
    <row r="179" spans="1:20" ht="15.75" thickBot="1">
      <c r="A179" s="105"/>
      <c r="J179" s="86" t="s">
        <v>56</v>
      </c>
      <c r="K179" s="87" t="s">
        <v>57</v>
      </c>
      <c r="L179" s="87" t="s">
        <v>58</v>
      </c>
      <c r="M179" s="88" t="s">
        <v>59</v>
      </c>
      <c r="N179" s="89" t="s">
        <v>5</v>
      </c>
      <c r="O179" s="90" t="s">
        <v>60</v>
      </c>
      <c r="P179" s="91" t="s">
        <v>61</v>
      </c>
      <c r="Q179" s="106"/>
      <c r="R179" s="106"/>
      <c r="S179" t="s">
        <v>62</v>
      </c>
      <c r="T179" s="97">
        <v>1000</v>
      </c>
    </row>
    <row r="180" spans="1:20" ht="15.75" thickBot="1">
      <c r="A180" s="108"/>
      <c r="B180" t="s">
        <v>75</v>
      </c>
      <c r="J180" s="92">
        <v>1</v>
      </c>
      <c r="K180" s="93">
        <v>40446</v>
      </c>
      <c r="L180" s="96">
        <v>242.24</v>
      </c>
      <c r="M180" s="95">
        <f>T179*T181*O180</f>
        <v>20.397999999999996</v>
      </c>
      <c r="N180" s="96">
        <f>L180+M180</f>
        <v>262.63800000000003</v>
      </c>
      <c r="O180" s="27">
        <f>K180-T180</f>
        <v>31</v>
      </c>
      <c r="P180" s="28">
        <f>T179-L180</f>
        <v>757.76</v>
      </c>
      <c r="Q180" s="106"/>
      <c r="R180" s="106"/>
      <c r="S180" t="s">
        <v>63</v>
      </c>
      <c r="T180" s="98">
        <v>40415</v>
      </c>
    </row>
    <row r="181" spans="1:20" ht="15.75" thickBot="1">
      <c r="A181" s="118"/>
      <c r="B181" t="s">
        <v>92</v>
      </c>
      <c r="J181" s="92">
        <v>2</v>
      </c>
      <c r="K181" s="93">
        <v>40471</v>
      </c>
      <c r="L181" s="115">
        <f>N181-M181</f>
        <v>250.16484800000001</v>
      </c>
      <c r="M181" s="95">
        <f>P180*O181*T181</f>
        <v>12.465152</v>
      </c>
      <c r="N181" s="96">
        <v>262.63</v>
      </c>
      <c r="O181" s="27">
        <f>K181-K180</f>
        <v>25</v>
      </c>
      <c r="P181" s="28">
        <f>P180-L181</f>
        <v>507.59515199999998</v>
      </c>
      <c r="Q181" s="106"/>
      <c r="R181" s="106"/>
      <c r="S181" t="s">
        <v>72</v>
      </c>
      <c r="T181" s="99">
        <v>6.5799999999999995E-4</v>
      </c>
    </row>
    <row r="182" spans="1:20" ht="15.75" thickBot="1">
      <c r="A182" s="113"/>
      <c r="B182" t="s">
        <v>149</v>
      </c>
      <c r="J182" s="92">
        <v>3</v>
      </c>
      <c r="K182" s="93">
        <v>40502</v>
      </c>
      <c r="L182" s="115">
        <f>N182-M182</f>
        <v>252.266074089504</v>
      </c>
      <c r="M182" s="95">
        <f>P181*O182*T181</f>
        <v>10.353925910495999</v>
      </c>
      <c r="N182" s="96">
        <v>262.62</v>
      </c>
      <c r="O182" s="27">
        <f t="shared" ref="O182:O183" si="18">K182-K181</f>
        <v>31</v>
      </c>
      <c r="P182" s="28">
        <f>P181-L182</f>
        <v>255.32907791049598</v>
      </c>
      <c r="Q182" s="106"/>
      <c r="R182" s="106"/>
      <c r="S182" t="s">
        <v>73</v>
      </c>
      <c r="T182">
        <f>T181*365/12</f>
        <v>2.0014166666666666E-2</v>
      </c>
    </row>
    <row r="183" spans="1:20" ht="15.75" thickBot="1">
      <c r="A183" s="113"/>
      <c r="B183" t="s">
        <v>150</v>
      </c>
      <c r="J183" s="92">
        <v>4</v>
      </c>
      <c r="K183" s="93">
        <v>40537</v>
      </c>
      <c r="L183" s="115">
        <f>P182</f>
        <v>255.32907791049598</v>
      </c>
      <c r="M183" s="95">
        <f>P182*O183*T181</f>
        <v>5.8802286642787225</v>
      </c>
      <c r="N183" s="96">
        <f>M183+L183</f>
        <v>261.2093065747747</v>
      </c>
      <c r="O183" s="27">
        <f t="shared" si="18"/>
        <v>35</v>
      </c>
      <c r="P183" s="28">
        <f>P182-L183</f>
        <v>0</v>
      </c>
      <c r="Q183" s="106"/>
      <c r="R183" s="106"/>
      <c r="S183" s="106"/>
      <c r="T183" s="106"/>
    </row>
    <row r="184" spans="1:20">
      <c r="A184" s="113"/>
      <c r="B184" t="s">
        <v>204</v>
      </c>
      <c r="C184" s="113"/>
      <c r="D184" s="113"/>
      <c r="E184" s="110"/>
      <c r="F184" s="111"/>
      <c r="G184" s="110"/>
      <c r="H184" s="109"/>
      <c r="I184" s="112"/>
      <c r="J184" s="110"/>
      <c r="K184" s="109"/>
      <c r="L184" s="25">
        <f>SUM(L180:L183)</f>
        <v>1000</v>
      </c>
      <c r="M184" s="157">
        <f>SUM(M180:M183)</f>
        <v>49.097306574774727</v>
      </c>
      <c r="N184" s="157">
        <f>SUM(N180:N183)</f>
        <v>1049.0973065747748</v>
      </c>
      <c r="O184" s="119"/>
      <c r="P184" s="106"/>
      <c r="Q184" s="106"/>
      <c r="R184" s="106"/>
      <c r="S184" s="106"/>
      <c r="T184" s="106"/>
    </row>
    <row r="185" spans="1:20">
      <c r="B185" t="s">
        <v>142</v>
      </c>
    </row>
    <row r="187" spans="1:20" s="134" customFormat="1">
      <c r="A187" s="133"/>
      <c r="H187" s="135"/>
      <c r="S187" s="135"/>
    </row>
    <row r="188" spans="1:20" s="134" customFormat="1" ht="15.75" thickBot="1">
      <c r="A188" s="133" t="s">
        <v>145</v>
      </c>
      <c r="B188" s="134" t="s">
        <v>146</v>
      </c>
      <c r="H188" s="135"/>
      <c r="S188" s="135"/>
    </row>
    <row r="189" spans="1:20" s="134" customFormat="1" ht="15.75" thickBot="1">
      <c r="A189" s="133"/>
      <c r="H189" s="135"/>
      <c r="J189" s="136" t="s">
        <v>56</v>
      </c>
      <c r="K189" s="137" t="s">
        <v>57</v>
      </c>
      <c r="L189" s="137" t="s">
        <v>58</v>
      </c>
      <c r="M189" s="138" t="s">
        <v>59</v>
      </c>
      <c r="N189" s="139" t="s">
        <v>5</v>
      </c>
      <c r="O189" s="140" t="s">
        <v>60</v>
      </c>
      <c r="P189" s="141" t="s">
        <v>61</v>
      </c>
      <c r="S189" s="134" t="s">
        <v>62</v>
      </c>
      <c r="T189" s="142">
        <v>1000</v>
      </c>
    </row>
    <row r="190" spans="1:20" s="134" customFormat="1" ht="15.75" thickBot="1">
      <c r="A190" s="155"/>
      <c r="B190" s="134" t="s">
        <v>75</v>
      </c>
      <c r="H190" s="135"/>
      <c r="J190" s="143">
        <v>1</v>
      </c>
      <c r="K190" s="144">
        <v>40446</v>
      </c>
      <c r="L190" s="145">
        <v>242.24</v>
      </c>
      <c r="M190" s="146">
        <f>T189*T191*O190</f>
        <v>20.397999999999996</v>
      </c>
      <c r="N190" s="145">
        <f>L190+M190</f>
        <v>262.63800000000003</v>
      </c>
      <c r="O190" s="147">
        <f>K190-T190</f>
        <v>31</v>
      </c>
      <c r="P190" s="148">
        <f>T189-L190</f>
        <v>757.76</v>
      </c>
      <c r="S190" s="134" t="s">
        <v>63</v>
      </c>
      <c r="T190" s="149">
        <v>40415</v>
      </c>
    </row>
    <row r="191" spans="1:20" s="134" customFormat="1" ht="15.75" thickBot="1">
      <c r="A191" s="156"/>
      <c r="B191" s="134" t="s">
        <v>92</v>
      </c>
      <c r="H191" s="135"/>
      <c r="J191" s="143">
        <v>2</v>
      </c>
      <c r="K191" s="144">
        <v>40481</v>
      </c>
      <c r="L191" s="150">
        <f>N191-M191</f>
        <v>245.17878719999999</v>
      </c>
      <c r="M191" s="146">
        <f>P190*O191*T191</f>
        <v>17.451212799999997</v>
      </c>
      <c r="N191" s="145">
        <v>262.63</v>
      </c>
      <c r="O191" s="147">
        <f>K191-K190</f>
        <v>35</v>
      </c>
      <c r="P191" s="148">
        <f>P190-L191</f>
        <v>512.5812128</v>
      </c>
      <c r="S191" s="134" t="s">
        <v>72</v>
      </c>
      <c r="T191" s="151">
        <v>6.5799999999999995E-4</v>
      </c>
    </row>
    <row r="192" spans="1:20" s="134" customFormat="1" ht="15.75" thickBot="1">
      <c r="A192" s="153"/>
      <c r="B192" s="134" t="s">
        <v>153</v>
      </c>
      <c r="H192" s="135"/>
      <c r="J192" s="143">
        <v>3</v>
      </c>
      <c r="K192" s="144">
        <v>40512</v>
      </c>
      <c r="L192" s="150">
        <f>N192-M192</f>
        <v>252.1643684213056</v>
      </c>
      <c r="M192" s="146">
        <f>P191*O192*T191</f>
        <v>10.455631578694399</v>
      </c>
      <c r="N192" s="145">
        <v>262.62</v>
      </c>
      <c r="O192" s="147">
        <f t="shared" ref="O192:O193" si="19">K192-K191</f>
        <v>31</v>
      </c>
      <c r="P192" s="148">
        <f>P191-L192</f>
        <v>260.41684437869441</v>
      </c>
      <c r="S192" s="134" t="s">
        <v>73</v>
      </c>
      <c r="T192" s="134">
        <f>T191*365/12</f>
        <v>2.0014166666666666E-2</v>
      </c>
    </row>
    <row r="193" spans="1:20" s="134" customFormat="1" ht="15.75" thickBot="1">
      <c r="A193" s="153"/>
      <c r="B193" s="134" t="s">
        <v>154</v>
      </c>
      <c r="H193" s="135"/>
      <c r="J193" s="143">
        <v>4</v>
      </c>
      <c r="K193" s="144">
        <v>40537</v>
      </c>
      <c r="L193" s="150">
        <f>P192</f>
        <v>260.41684437869441</v>
      </c>
      <c r="M193" s="146">
        <f>P192*O193*T191</f>
        <v>4.2838570900295228</v>
      </c>
      <c r="N193" s="145">
        <f>M193+L193</f>
        <v>264.70070146872393</v>
      </c>
      <c r="O193" s="147">
        <f t="shared" si="19"/>
        <v>25</v>
      </c>
      <c r="P193" s="148">
        <f>P192-L193</f>
        <v>0</v>
      </c>
    </row>
    <row r="194" spans="1:20" s="134" customFormat="1">
      <c r="A194" s="153"/>
      <c r="B194" s="134" t="s">
        <v>204</v>
      </c>
      <c r="C194" s="153"/>
      <c r="D194" s="153"/>
      <c r="E194" s="158"/>
      <c r="F194" s="159"/>
      <c r="G194" s="158"/>
      <c r="H194" s="154"/>
      <c r="I194" s="160"/>
      <c r="J194" s="158"/>
      <c r="K194" s="154"/>
      <c r="L194" s="157">
        <f>SUM(L190:L193)</f>
        <v>1000</v>
      </c>
      <c r="M194" s="157">
        <f>SUM(M190:M193)</f>
        <v>52.588701468723912</v>
      </c>
      <c r="N194" s="157">
        <f>SUM(N190:N193)</f>
        <v>1052.5887014687239</v>
      </c>
      <c r="O194" s="161"/>
    </row>
    <row r="195" spans="1:20" s="134" customFormat="1">
      <c r="A195" s="133"/>
      <c r="B195" s="134" t="s">
        <v>142</v>
      </c>
      <c r="H195" s="135"/>
      <c r="S195" s="135"/>
    </row>
    <row r="196" spans="1:20" s="134" customFormat="1">
      <c r="A196" s="133"/>
      <c r="H196" s="135"/>
      <c r="S196" s="135"/>
    </row>
    <row r="198" spans="1:20" ht="15.75" thickBot="1">
      <c r="A198" s="105" t="s">
        <v>151</v>
      </c>
      <c r="B198" t="s">
        <v>152</v>
      </c>
      <c r="Q198" s="106"/>
      <c r="R198" s="106"/>
      <c r="S198" s="107" t="s">
        <v>157</v>
      </c>
      <c r="T198" s="97">
        <f>K10*T199/(1-(1+K10)^-6)</f>
        <v>135.28618723049152</v>
      </c>
    </row>
    <row r="199" spans="1:20" ht="15.75" thickBot="1">
      <c r="A199" s="105"/>
      <c r="J199" s="86" t="s">
        <v>56</v>
      </c>
      <c r="K199" s="87" t="s">
        <v>57</v>
      </c>
      <c r="L199" s="87" t="s">
        <v>58</v>
      </c>
      <c r="M199" s="88" t="s">
        <v>59</v>
      </c>
      <c r="N199" s="89" t="s">
        <v>5</v>
      </c>
      <c r="O199" s="90" t="s">
        <v>60</v>
      </c>
      <c r="P199" s="91" t="s">
        <v>61</v>
      </c>
      <c r="Q199" s="106"/>
      <c r="R199" s="106"/>
      <c r="S199" t="s">
        <v>62</v>
      </c>
      <c r="T199">
        <v>757.76</v>
      </c>
    </row>
    <row r="200" spans="1:20" ht="15.75" thickBot="1">
      <c r="A200" s="108"/>
      <c r="B200" t="s">
        <v>75</v>
      </c>
      <c r="J200" s="92">
        <v>1</v>
      </c>
      <c r="K200" s="93">
        <v>40476</v>
      </c>
      <c r="L200" s="96">
        <f>N200-M200</f>
        <v>120.0418176</v>
      </c>
      <c r="M200" s="95">
        <f>T199*O200*T201</f>
        <v>14.958182399999998</v>
      </c>
      <c r="N200" s="96">
        <v>135</v>
      </c>
      <c r="O200" s="74">
        <f>K200-T200</f>
        <v>30</v>
      </c>
      <c r="P200" s="28">
        <f>T199-L200</f>
        <v>637.71818239999993</v>
      </c>
      <c r="Q200" s="106"/>
      <c r="R200" s="106"/>
      <c r="S200" t="s">
        <v>63</v>
      </c>
      <c r="T200" s="98">
        <v>40446</v>
      </c>
    </row>
    <row r="201" spans="1:20" ht="15.75" thickBot="1">
      <c r="A201" s="118"/>
      <c r="B201" t="s">
        <v>92</v>
      </c>
      <c r="J201" s="92">
        <v>2</v>
      </c>
      <c r="K201" s="93">
        <v>40507</v>
      </c>
      <c r="L201" s="115">
        <f>N201-M201</f>
        <v>121.9918245154048</v>
      </c>
      <c r="M201" s="95">
        <f>P200*O201*T201</f>
        <v>13.008175484595197</v>
      </c>
      <c r="N201" s="96">
        <v>135</v>
      </c>
      <c r="O201" s="27">
        <f>K201-K200</f>
        <v>31</v>
      </c>
      <c r="P201" s="28">
        <f>P200-L201</f>
        <v>515.72635788459513</v>
      </c>
      <c r="Q201" s="106"/>
      <c r="R201" s="106"/>
      <c r="S201" t="s">
        <v>72</v>
      </c>
      <c r="T201" s="99">
        <v>6.5799999999999995E-4</v>
      </c>
    </row>
    <row r="202" spans="1:20" ht="15.75" thickBot="1">
      <c r="A202" s="113"/>
      <c r="B202" t="s">
        <v>155</v>
      </c>
      <c r="J202" s="92">
        <v>3</v>
      </c>
      <c r="K202" s="93">
        <v>40537</v>
      </c>
      <c r="L202" s="115">
        <f>N202-M202</f>
        <v>124.81956169535809</v>
      </c>
      <c r="M202" s="95">
        <f>P201*O202*T201</f>
        <v>10.180438304641907</v>
      </c>
      <c r="N202" s="96">
        <v>135</v>
      </c>
      <c r="O202" s="27">
        <f t="shared" ref="O202:O203" si="20">K202-K201</f>
        <v>30</v>
      </c>
      <c r="P202" s="28">
        <f>P201-L202</f>
        <v>390.90679618923707</v>
      </c>
      <c r="Q202" s="106"/>
      <c r="R202" s="106"/>
      <c r="S202" t="s">
        <v>73</v>
      </c>
      <c r="T202">
        <f>T201*365/12</f>
        <v>2.0014166666666666E-2</v>
      </c>
    </row>
    <row r="203" spans="1:20" ht="15.75" thickBot="1">
      <c r="A203" s="113"/>
      <c r="B203" t="s">
        <v>158</v>
      </c>
      <c r="J203" s="92">
        <v>4</v>
      </c>
      <c r="K203" s="93">
        <v>40568</v>
      </c>
      <c r="L203" s="115">
        <f>N203-M203</f>
        <v>127.02628317133194</v>
      </c>
      <c r="M203" s="95">
        <f>P202*O203*T201</f>
        <v>7.9737168286680564</v>
      </c>
      <c r="N203" s="96">
        <v>135</v>
      </c>
      <c r="O203" s="27">
        <f t="shared" si="20"/>
        <v>31</v>
      </c>
      <c r="P203" s="28">
        <f>P202-L203</f>
        <v>263.88051301790512</v>
      </c>
      <c r="Q203" s="106"/>
      <c r="R203" s="106"/>
      <c r="S203" s="106"/>
      <c r="T203" s="106"/>
    </row>
    <row r="204" spans="1:20" ht="15.75" thickBot="1">
      <c r="A204" s="113"/>
      <c r="B204" t="s">
        <v>156</v>
      </c>
      <c r="C204" s="113"/>
      <c r="D204" s="113"/>
      <c r="E204" s="110"/>
      <c r="F204" s="111"/>
      <c r="G204" s="110"/>
      <c r="H204" s="109"/>
      <c r="I204" s="112"/>
      <c r="J204" s="92">
        <v>5</v>
      </c>
      <c r="K204" s="93">
        <v>40599</v>
      </c>
      <c r="L204" s="115">
        <f>N204-M204</f>
        <v>129.61736529546079</v>
      </c>
      <c r="M204" s="95">
        <f>P203*O204*T201</f>
        <v>5.3826347045392282</v>
      </c>
      <c r="N204" s="96">
        <v>135</v>
      </c>
      <c r="O204" s="27">
        <f t="shared" ref="O204:O205" si="21">K204-K203</f>
        <v>31</v>
      </c>
      <c r="P204" s="28">
        <f>P203-L204</f>
        <v>134.26314772244433</v>
      </c>
      <c r="Q204" s="106"/>
      <c r="R204" s="106"/>
      <c r="S204" s="106"/>
      <c r="T204" s="106"/>
    </row>
    <row r="205" spans="1:20" ht="15.75" thickBot="1">
      <c r="J205" s="92">
        <v>6</v>
      </c>
      <c r="K205" s="93">
        <v>40627</v>
      </c>
      <c r="L205" s="115">
        <f>P204</f>
        <v>134.26314772244433</v>
      </c>
      <c r="M205" s="95">
        <f>P204*O205*T201</f>
        <v>2.4736642336383143</v>
      </c>
      <c r="N205" s="96">
        <f>L205+M205</f>
        <v>136.73681195608265</v>
      </c>
      <c r="O205" s="27">
        <f t="shared" si="21"/>
        <v>28</v>
      </c>
      <c r="P205" s="28">
        <f>P204-L205</f>
        <v>0</v>
      </c>
    </row>
    <row r="206" spans="1:20">
      <c r="L206" s="25">
        <f>SUM(L200:L205)</f>
        <v>757.76</v>
      </c>
      <c r="M206" s="157">
        <f>SUM(M200:M205)</f>
        <v>53.976811956082713</v>
      </c>
      <c r="N206" s="157">
        <f>SUM(N200:N205)</f>
        <v>811.73681195608265</v>
      </c>
    </row>
    <row r="207" spans="1:20">
      <c r="L207" s="25"/>
    </row>
    <row r="208" spans="1:20" s="134" customFormat="1">
      <c r="A208" s="133"/>
      <c r="H208" s="135"/>
      <c r="S208" s="135"/>
    </row>
    <row r="209" spans="1:31" s="134" customFormat="1" ht="15.75" thickBot="1">
      <c r="A209" s="133" t="s">
        <v>159</v>
      </c>
      <c r="B209" s="134" t="s">
        <v>160</v>
      </c>
      <c r="H209" s="135"/>
      <c r="S209" s="135" t="s">
        <v>157</v>
      </c>
      <c r="T209" s="142">
        <f>T213*T210/(1-(1+T213)^-2)</f>
        <v>390.29201696988815</v>
      </c>
    </row>
    <row r="210" spans="1:31" s="134" customFormat="1" ht="15.75" thickBot="1">
      <c r="A210" s="133"/>
      <c r="H210" s="135"/>
      <c r="J210" s="136" t="s">
        <v>56</v>
      </c>
      <c r="K210" s="137" t="s">
        <v>57</v>
      </c>
      <c r="L210" s="137" t="s">
        <v>58</v>
      </c>
      <c r="M210" s="138" t="s">
        <v>59</v>
      </c>
      <c r="N210" s="139" t="s">
        <v>5</v>
      </c>
      <c r="O210" s="140" t="s">
        <v>60</v>
      </c>
      <c r="P210" s="141" t="s">
        <v>61</v>
      </c>
      <c r="S210" s="134" t="s">
        <v>62</v>
      </c>
      <c r="T210" s="134">
        <v>757.76</v>
      </c>
    </row>
    <row r="211" spans="1:31" s="134" customFormat="1" ht="15.75" thickBot="1">
      <c r="A211" s="155"/>
      <c r="B211" s="134" t="s">
        <v>75</v>
      </c>
      <c r="H211" s="135"/>
      <c r="J211" s="143">
        <v>1</v>
      </c>
      <c r="K211" s="144">
        <v>40476</v>
      </c>
      <c r="L211" s="145">
        <f>N211-M211</f>
        <v>375.0418176</v>
      </c>
      <c r="M211" s="146">
        <f>T210*O211*T212</f>
        <v>14.958182399999998</v>
      </c>
      <c r="N211" s="145">
        <v>390</v>
      </c>
      <c r="O211" s="162">
        <f>K211-T211</f>
        <v>30</v>
      </c>
      <c r="P211" s="148">
        <f>T210-L211</f>
        <v>382.71818239999999</v>
      </c>
      <c r="S211" s="134" t="s">
        <v>63</v>
      </c>
      <c r="T211" s="149">
        <v>40446</v>
      </c>
    </row>
    <row r="212" spans="1:31" s="134" customFormat="1" ht="15.75" thickBot="1">
      <c r="A212" s="156"/>
      <c r="B212" s="134" t="s">
        <v>92</v>
      </c>
      <c r="H212" s="135"/>
      <c r="J212" s="143">
        <v>2</v>
      </c>
      <c r="K212" s="144">
        <v>40507</v>
      </c>
      <c r="L212" s="150">
        <f>P211</f>
        <v>382.71818239999999</v>
      </c>
      <c r="M212" s="146">
        <f>P211*O212*T212</f>
        <v>7.8066854845951994</v>
      </c>
      <c r="N212" s="145">
        <f>L212+M212</f>
        <v>390.52486788459521</v>
      </c>
      <c r="O212" s="147">
        <f>K212-K211</f>
        <v>31</v>
      </c>
      <c r="P212" s="148">
        <f>P211-L212</f>
        <v>0</v>
      </c>
      <c r="S212" s="134" t="s">
        <v>72</v>
      </c>
      <c r="T212" s="151">
        <v>6.5799999999999995E-4</v>
      </c>
    </row>
    <row r="213" spans="1:31" s="134" customFormat="1">
      <c r="A213" s="153"/>
      <c r="B213" s="134" t="s">
        <v>161</v>
      </c>
      <c r="H213" s="135"/>
      <c r="L213" s="157">
        <f>SUM(L211:L212)</f>
        <v>757.76</v>
      </c>
      <c r="M213" s="157">
        <f>SUM(M211:M212)</f>
        <v>22.764867884595198</v>
      </c>
      <c r="N213" s="157">
        <f>SUM(N211:N212)</f>
        <v>780.52486788459521</v>
      </c>
      <c r="S213" s="134" t="s">
        <v>73</v>
      </c>
      <c r="T213" s="134">
        <f>T212*365/12</f>
        <v>2.0014166666666666E-2</v>
      </c>
    </row>
    <row r="214" spans="1:31" s="134" customFormat="1">
      <c r="A214" s="153"/>
      <c r="B214" s="134" t="s">
        <v>162</v>
      </c>
      <c r="H214" s="135"/>
    </row>
    <row r="215" spans="1:31" s="134" customFormat="1">
      <c r="A215" s="153"/>
      <c r="B215" s="134" t="s">
        <v>156</v>
      </c>
      <c r="C215" s="153"/>
      <c r="D215" s="153"/>
      <c r="E215" s="158"/>
      <c r="F215" s="159"/>
      <c r="G215" s="158"/>
      <c r="H215" s="154"/>
      <c r="I215" s="160"/>
    </row>
    <row r="216" spans="1:31" s="134" customFormat="1">
      <c r="A216" s="133"/>
      <c r="H216" s="135"/>
      <c r="S216" s="135"/>
    </row>
    <row r="217" spans="1:31" ht="15.75" thickBot="1"/>
    <row r="218" spans="1:31" ht="15.75" thickBot="1">
      <c r="A218" s="105" t="s">
        <v>163</v>
      </c>
      <c r="B218" t="s">
        <v>164</v>
      </c>
      <c r="Q218" s="106"/>
      <c r="R218" s="106"/>
      <c r="S218" s="107" t="s">
        <v>157</v>
      </c>
      <c r="T218" s="97">
        <f>T219*T222/(1-(1+T222)^-5)</f>
        <v>88.628569965073723</v>
      </c>
      <c r="W218" s="86" t="s">
        <v>56</v>
      </c>
      <c r="X218" s="87" t="s">
        <v>57</v>
      </c>
      <c r="Y218" s="87" t="s">
        <v>58</v>
      </c>
      <c r="Z218" s="88" t="s">
        <v>59</v>
      </c>
      <c r="AA218" s="89" t="s">
        <v>5</v>
      </c>
      <c r="AB218" s="90" t="s">
        <v>60</v>
      </c>
      <c r="AC218" s="91" t="s">
        <v>61</v>
      </c>
      <c r="AD218" t="s">
        <v>62</v>
      </c>
      <c r="AE218" s="97">
        <v>1000</v>
      </c>
    </row>
    <row r="219" spans="1:31" ht="15.75" thickBot="1">
      <c r="A219" s="105"/>
      <c r="J219" s="86" t="s">
        <v>56</v>
      </c>
      <c r="K219" s="87" t="s">
        <v>57</v>
      </c>
      <c r="L219" s="87" t="s">
        <v>58</v>
      </c>
      <c r="M219" s="88" t="s">
        <v>59</v>
      </c>
      <c r="N219" s="89" t="s">
        <v>5</v>
      </c>
      <c r="O219" s="90" t="s">
        <v>60</v>
      </c>
      <c r="P219" s="91" t="s">
        <v>61</v>
      </c>
      <c r="Q219" s="106"/>
      <c r="R219" s="106"/>
      <c r="S219" t="s">
        <v>62</v>
      </c>
      <c r="T219">
        <v>417.73</v>
      </c>
      <c r="W219" s="92">
        <v>1</v>
      </c>
      <c r="X219" s="93">
        <v>40446</v>
      </c>
      <c r="Y219" s="96">
        <v>242.24</v>
      </c>
      <c r="Z219" s="95">
        <f>AE218*AE220*AB219</f>
        <v>20.397999999999996</v>
      </c>
      <c r="AA219" s="96">
        <f>Y219+Z219</f>
        <v>262.63800000000003</v>
      </c>
      <c r="AB219" s="27">
        <f>X219-AE219</f>
        <v>31</v>
      </c>
      <c r="AC219" s="28">
        <f>AE218-Y219</f>
        <v>757.76</v>
      </c>
      <c r="AD219" t="s">
        <v>63</v>
      </c>
      <c r="AE219" s="98">
        <v>40415</v>
      </c>
    </row>
    <row r="220" spans="1:31" ht="15.75" thickBot="1">
      <c r="A220" s="108"/>
      <c r="B220" t="s">
        <v>75</v>
      </c>
      <c r="J220" s="92">
        <v>1</v>
      </c>
      <c r="K220" s="93">
        <v>40497</v>
      </c>
      <c r="L220" s="96">
        <f>N220-M220</f>
        <v>80.479143460000003</v>
      </c>
      <c r="M220" s="95">
        <f>T219*O220*T221</f>
        <v>8.5208565400000005</v>
      </c>
      <c r="N220" s="96">
        <v>89</v>
      </c>
      <c r="O220" s="74">
        <f>K220-T220</f>
        <v>31</v>
      </c>
      <c r="P220" s="28">
        <f>T219-L220</f>
        <v>337.25085654000003</v>
      </c>
      <c r="Q220" s="106"/>
      <c r="R220" s="106"/>
      <c r="S220" t="s">
        <v>63</v>
      </c>
      <c r="T220" s="98">
        <v>40466</v>
      </c>
      <c r="W220" s="92">
        <v>2</v>
      </c>
      <c r="X220" s="93">
        <v>40466</v>
      </c>
      <c r="Y220" s="115">
        <f>AA220-Z220</f>
        <v>340.02787840000002</v>
      </c>
      <c r="Z220" s="95">
        <f>AC219*AB220*AE220</f>
        <v>9.9721215999999995</v>
      </c>
      <c r="AA220" s="96">
        <v>350</v>
      </c>
      <c r="AB220" s="27">
        <f>X220-X219</f>
        <v>20</v>
      </c>
      <c r="AC220" s="28">
        <f>AC219-Y220</f>
        <v>417.73212159999997</v>
      </c>
      <c r="AD220" t="s">
        <v>72</v>
      </c>
      <c r="AE220" s="99">
        <v>6.5799999999999995E-4</v>
      </c>
    </row>
    <row r="221" spans="1:31" ht="15.75" thickBot="1">
      <c r="A221" s="118"/>
      <c r="B221" t="s">
        <v>92</v>
      </c>
      <c r="J221" s="92">
        <v>2</v>
      </c>
      <c r="K221" s="93">
        <v>40527</v>
      </c>
      <c r="L221" s="115">
        <f>N221-M221</f>
        <v>82.342668091900407</v>
      </c>
      <c r="M221" s="95">
        <f>P220*O221*T221</f>
        <v>6.6573319080996001</v>
      </c>
      <c r="N221" s="96">
        <v>89</v>
      </c>
      <c r="O221" s="27">
        <f>K221-K220</f>
        <v>30</v>
      </c>
      <c r="P221" s="28">
        <f>P220-L221</f>
        <v>254.90818844809962</v>
      </c>
      <c r="Q221" s="106"/>
      <c r="R221" s="106"/>
      <c r="S221" t="s">
        <v>72</v>
      </c>
      <c r="T221" s="99">
        <v>6.5799999999999995E-4</v>
      </c>
      <c r="W221" s="92"/>
      <c r="X221" s="93"/>
      <c r="Y221" s="115"/>
      <c r="Z221" s="95"/>
      <c r="AA221" s="96"/>
      <c r="AB221" s="27"/>
      <c r="AC221" s="28"/>
      <c r="AD221" t="s">
        <v>73</v>
      </c>
      <c r="AE221">
        <f>AE220*365/12</f>
        <v>2.0014166666666666E-2</v>
      </c>
    </row>
    <row r="222" spans="1:31" ht="15.75" thickBot="1">
      <c r="A222" s="113"/>
      <c r="B222" t="s">
        <v>167</v>
      </c>
      <c r="J222" s="92">
        <v>3</v>
      </c>
      <c r="K222" s="93">
        <v>40558</v>
      </c>
      <c r="L222" s="115">
        <f>N222-M222</f>
        <v>83.800382772035661</v>
      </c>
      <c r="M222" s="95">
        <f>P221*O222*T221</f>
        <v>5.1996172279643362</v>
      </c>
      <c r="N222" s="96">
        <v>89</v>
      </c>
      <c r="O222" s="27">
        <f t="shared" ref="O222:O224" si="22">K222-K221</f>
        <v>31</v>
      </c>
      <c r="P222" s="28">
        <f>P221-L222</f>
        <v>171.10780567606395</v>
      </c>
      <c r="Q222" s="106"/>
      <c r="R222" s="106"/>
      <c r="S222" t="s">
        <v>73</v>
      </c>
      <c r="T222">
        <f>T221*365/12</f>
        <v>2.0014166666666666E-2</v>
      </c>
      <c r="W222" s="92"/>
      <c r="X222" s="93"/>
      <c r="Y222" s="92"/>
      <c r="Z222" s="95"/>
      <c r="AA222" s="96"/>
      <c r="AB222" s="27"/>
      <c r="AC222" s="28"/>
      <c r="AD222" s="106"/>
      <c r="AE222" s="106"/>
    </row>
    <row r="223" spans="1:31" ht="15.75" thickBot="1">
      <c r="A223" s="113"/>
      <c r="B223" t="s">
        <v>168</v>
      </c>
      <c r="J223" s="92">
        <v>4</v>
      </c>
      <c r="K223" s="93">
        <v>40589</v>
      </c>
      <c r="L223" s="115">
        <f>N223-M223</f>
        <v>85.509742979819649</v>
      </c>
      <c r="M223" s="95">
        <f>P222*O223*T221</f>
        <v>3.4902570201803518</v>
      </c>
      <c r="N223" s="96">
        <v>89</v>
      </c>
      <c r="O223" s="27">
        <f t="shared" si="22"/>
        <v>31</v>
      </c>
      <c r="P223" s="28">
        <f>P222-L223</f>
        <v>85.598062696244298</v>
      </c>
      <c r="Q223" s="106"/>
      <c r="R223" s="106"/>
      <c r="S223" s="106"/>
      <c r="T223" s="106"/>
      <c r="W223" s="110"/>
      <c r="X223" s="109"/>
      <c r="Y223" s="25">
        <f>SUM(Y219:Y222)</f>
        <v>582.26787839999997</v>
      </c>
      <c r="Z223" s="113"/>
      <c r="AA223" s="113"/>
      <c r="AB223" s="119"/>
      <c r="AC223" s="106"/>
      <c r="AD223" s="106"/>
      <c r="AE223" s="106"/>
    </row>
    <row r="224" spans="1:31" ht="15.75" thickBot="1">
      <c r="A224" s="113"/>
      <c r="B224" t="s">
        <v>169</v>
      </c>
      <c r="C224" s="113"/>
      <c r="D224" s="113"/>
      <c r="E224" s="110"/>
      <c r="F224" s="111"/>
      <c r="G224" s="110"/>
      <c r="H224" s="109"/>
      <c r="I224" s="112"/>
      <c r="J224" s="92">
        <v>5</v>
      </c>
      <c r="K224" s="93">
        <v>40617</v>
      </c>
      <c r="L224" s="115">
        <f>P223</f>
        <v>85.598062696244298</v>
      </c>
      <c r="M224" s="95">
        <f>P223*O224*T221</f>
        <v>1.577058707115605</v>
      </c>
      <c r="N224" s="96">
        <f>L224+M224</f>
        <v>87.17512140335991</v>
      </c>
      <c r="O224" s="27">
        <f t="shared" si="22"/>
        <v>28</v>
      </c>
      <c r="P224" s="28">
        <f>P223-L224</f>
        <v>0</v>
      </c>
      <c r="Q224" s="106"/>
      <c r="R224" s="106"/>
      <c r="S224" s="106"/>
      <c r="T224" s="106"/>
    </row>
    <row r="225" spans="1:20">
      <c r="B225" t="s">
        <v>170</v>
      </c>
      <c r="L225" s="25">
        <f>SUM(L220:L224)</f>
        <v>417.73</v>
      </c>
      <c r="M225" s="25">
        <f>SUM(M220:M224)</f>
        <v>25.445121403359892</v>
      </c>
      <c r="N225" s="25">
        <f>SUM(N220:N224)</f>
        <v>443.17512140335992</v>
      </c>
    </row>
    <row r="228" spans="1:20" s="134" customFormat="1">
      <c r="A228" s="133"/>
      <c r="H228" s="135"/>
      <c r="S228" s="135"/>
    </row>
    <row r="229" spans="1:20" s="134" customFormat="1" ht="15.75" thickBot="1">
      <c r="A229" s="133" t="s">
        <v>165</v>
      </c>
      <c r="B229" s="134" t="s">
        <v>166</v>
      </c>
      <c r="H229" s="135"/>
      <c r="S229" s="135"/>
      <c r="T229" s="142"/>
    </row>
    <row r="230" spans="1:20" s="134" customFormat="1" ht="15.75" thickBot="1">
      <c r="A230" s="133"/>
      <c r="H230" s="135"/>
      <c r="J230" s="136" t="s">
        <v>56</v>
      </c>
      <c r="K230" s="137" t="s">
        <v>57</v>
      </c>
      <c r="L230" s="137" t="s">
        <v>58</v>
      </c>
      <c r="M230" s="138" t="s">
        <v>59</v>
      </c>
      <c r="N230" s="139" t="s">
        <v>5</v>
      </c>
      <c r="O230" s="140" t="s">
        <v>60</v>
      </c>
      <c r="P230" s="141" t="s">
        <v>61</v>
      </c>
      <c r="S230" s="134" t="s">
        <v>62</v>
      </c>
      <c r="T230" s="134">
        <v>1000</v>
      </c>
    </row>
    <row r="231" spans="1:20" s="134" customFormat="1" ht="15.75" thickBot="1">
      <c r="A231" s="155"/>
      <c r="B231" s="134" t="s">
        <v>75</v>
      </c>
      <c r="H231" s="135"/>
      <c r="J231" s="143">
        <v>1</v>
      </c>
      <c r="K231" s="144">
        <v>40436</v>
      </c>
      <c r="L231" s="145">
        <f>N231-M231</f>
        <v>86.182000000000002</v>
      </c>
      <c r="M231" s="146">
        <f>T230*O231*T232</f>
        <v>13.818</v>
      </c>
      <c r="N231" s="145">
        <v>100</v>
      </c>
      <c r="O231" s="162">
        <f>K231-T231</f>
        <v>21</v>
      </c>
      <c r="P231" s="148">
        <f>T230-L231</f>
        <v>913.81799999999998</v>
      </c>
      <c r="S231" s="134" t="s">
        <v>63</v>
      </c>
      <c r="T231" s="149">
        <v>40415</v>
      </c>
    </row>
    <row r="232" spans="1:20" s="134" customFormat="1" ht="15.75" thickBot="1">
      <c r="A232" s="156"/>
      <c r="B232" s="134" t="s">
        <v>171</v>
      </c>
      <c r="H232" s="135"/>
      <c r="J232" s="143">
        <v>2</v>
      </c>
      <c r="K232" s="144">
        <v>40456</v>
      </c>
      <c r="L232" s="150">
        <f>N232-M232</f>
        <v>87.974155120000006</v>
      </c>
      <c r="M232" s="146">
        <f>P231*O232*T232</f>
        <v>12.025844879999999</v>
      </c>
      <c r="N232" s="145">
        <v>100</v>
      </c>
      <c r="O232" s="147">
        <f>K232-K231</f>
        <v>20</v>
      </c>
      <c r="P232" s="148">
        <f>P231-L232</f>
        <v>825.84384488000001</v>
      </c>
      <c r="S232" s="134" t="s">
        <v>72</v>
      </c>
      <c r="T232" s="151">
        <v>6.5799999999999995E-4</v>
      </c>
    </row>
    <row r="233" spans="1:20" s="134" customFormat="1" ht="15.75" thickBot="1">
      <c r="A233" s="153"/>
      <c r="B233" s="134" t="s">
        <v>172</v>
      </c>
      <c r="H233" s="135"/>
      <c r="J233" s="143">
        <v>3</v>
      </c>
      <c r="K233" s="144">
        <v>40476</v>
      </c>
      <c r="L233" s="150">
        <f>P232-P233</f>
        <v>315.75384488000003</v>
      </c>
      <c r="M233" s="146">
        <f>P232*O233*T232</f>
        <v>10.868104998620799</v>
      </c>
      <c r="N233" s="145">
        <f>L233+M233</f>
        <v>326.62194987862085</v>
      </c>
      <c r="O233" s="147">
        <f t="shared" ref="O233:O235" si="23">K233-K232</f>
        <v>20</v>
      </c>
      <c r="P233" s="148">
        <v>510.09</v>
      </c>
      <c r="S233" s="134" t="s">
        <v>73</v>
      </c>
      <c r="T233" s="134">
        <f>T232*365/12</f>
        <v>2.0014166666666666E-2</v>
      </c>
    </row>
    <row r="234" spans="1:20" s="134" customFormat="1" ht="15.75" thickBot="1">
      <c r="A234" s="153"/>
      <c r="B234" s="134" t="s">
        <v>173</v>
      </c>
      <c r="H234" s="135"/>
      <c r="J234" s="143">
        <v>4</v>
      </c>
      <c r="K234" s="144">
        <v>40507</v>
      </c>
      <c r="L234" s="150">
        <f>N234-M234</f>
        <v>252.21518417999999</v>
      </c>
      <c r="M234" s="146">
        <f>P233*O234*T232</f>
        <v>10.404815819999998</v>
      </c>
      <c r="N234" s="145">
        <v>262.62</v>
      </c>
      <c r="O234" s="147">
        <f t="shared" si="23"/>
        <v>31</v>
      </c>
      <c r="P234" s="148">
        <f>P233-L234</f>
        <v>257.87481581999998</v>
      </c>
    </row>
    <row r="235" spans="1:20" s="134" customFormat="1" ht="15.75" thickBot="1">
      <c r="A235" s="153"/>
      <c r="B235" s="134" t="s">
        <v>174</v>
      </c>
      <c r="C235" s="153"/>
      <c r="D235" s="153"/>
      <c r="E235" s="158"/>
      <c r="F235" s="159"/>
      <c r="G235" s="158"/>
      <c r="H235" s="154"/>
      <c r="I235" s="160"/>
      <c r="J235" s="143">
        <v>5</v>
      </c>
      <c r="K235" s="144">
        <v>40537</v>
      </c>
      <c r="L235" s="150">
        <f>P234</f>
        <v>257.87481581999998</v>
      </c>
      <c r="M235" s="146">
        <f>P234*O235*T232</f>
        <v>5.0904488642867989</v>
      </c>
      <c r="N235" s="145">
        <v>262.95999999999998</v>
      </c>
      <c r="O235" s="147">
        <f t="shared" si="23"/>
        <v>30</v>
      </c>
      <c r="P235" s="148">
        <f>P234-L235</f>
        <v>0</v>
      </c>
    </row>
    <row r="236" spans="1:20" s="134" customFormat="1">
      <c r="A236" s="133"/>
      <c r="H236" s="135"/>
      <c r="L236" s="157">
        <f>SUM(L231:L235)</f>
        <v>1000</v>
      </c>
      <c r="M236" s="157">
        <f>SUM(M231:M235)</f>
        <v>52.207214562907595</v>
      </c>
      <c r="N236" s="157">
        <f>SUM(N231:N235)</f>
        <v>1052.2019498786208</v>
      </c>
      <c r="S236" s="135"/>
    </row>
    <row r="237" spans="1:20" s="134" customFormat="1">
      <c r="A237" s="133"/>
      <c r="H237" s="135"/>
      <c r="L237" s="157"/>
      <c r="S237" s="135"/>
    </row>
    <row r="239" spans="1:20" ht="15.75" thickBot="1">
      <c r="A239" s="105" t="s">
        <v>175</v>
      </c>
      <c r="B239" t="s">
        <v>181</v>
      </c>
      <c r="Q239" s="106"/>
      <c r="R239" s="106"/>
      <c r="S239" s="107"/>
      <c r="T239" s="97"/>
    </row>
    <row r="240" spans="1:20" ht="15.75" thickBot="1">
      <c r="A240" s="105"/>
      <c r="J240" s="86" t="s">
        <v>56</v>
      </c>
      <c r="K240" s="87" t="s">
        <v>57</v>
      </c>
      <c r="L240" s="87" t="s">
        <v>58</v>
      </c>
      <c r="M240" s="88" t="s">
        <v>59</v>
      </c>
      <c r="N240" s="89" t="s">
        <v>5</v>
      </c>
      <c r="O240" s="90" t="s">
        <v>60</v>
      </c>
      <c r="P240" s="91" t="s">
        <v>61</v>
      </c>
      <c r="Q240" s="106"/>
      <c r="R240" s="106"/>
      <c r="S240" t="s">
        <v>62</v>
      </c>
      <c r="T240">
        <v>1000</v>
      </c>
    </row>
    <row r="241" spans="1:20" ht="15.75" thickBot="1">
      <c r="A241" s="108"/>
      <c r="B241" t="s">
        <v>75</v>
      </c>
      <c r="J241" s="92">
        <v>1</v>
      </c>
      <c r="K241" s="93">
        <v>40436</v>
      </c>
      <c r="L241" s="96">
        <f>N241-M241</f>
        <v>186.18199999999999</v>
      </c>
      <c r="M241" s="95">
        <f>T240*O241*T242</f>
        <v>13.818</v>
      </c>
      <c r="N241" s="96">
        <v>200</v>
      </c>
      <c r="O241" s="74">
        <f>K241-T241</f>
        <v>21</v>
      </c>
      <c r="P241" s="28">
        <f>T240-L241</f>
        <v>813.81799999999998</v>
      </c>
      <c r="Q241" s="106"/>
      <c r="R241" s="106"/>
      <c r="S241" t="s">
        <v>63</v>
      </c>
      <c r="T241" s="98">
        <v>40415</v>
      </c>
    </row>
    <row r="242" spans="1:20" ht="15.75" thickBot="1">
      <c r="A242" s="118"/>
      <c r="B242" t="s">
        <v>176</v>
      </c>
      <c r="J242" s="92">
        <v>2</v>
      </c>
      <c r="K242" s="93">
        <v>40456</v>
      </c>
      <c r="L242" s="115">
        <f>N242-M242</f>
        <v>189.29015512000001</v>
      </c>
      <c r="M242" s="95">
        <f>P241*O242*T242</f>
        <v>10.70984488</v>
      </c>
      <c r="N242" s="96">
        <v>200</v>
      </c>
      <c r="O242" s="27">
        <f>K242-K241</f>
        <v>20</v>
      </c>
      <c r="P242" s="28">
        <f>P241-L242</f>
        <v>624.52784487999998</v>
      </c>
      <c r="Q242" s="106"/>
      <c r="R242" s="106"/>
      <c r="S242" t="s">
        <v>72</v>
      </c>
      <c r="T242" s="99">
        <v>6.5799999999999995E-4</v>
      </c>
    </row>
    <row r="243" spans="1:20" ht="15.75" thickBot="1">
      <c r="A243" s="113"/>
      <c r="B243" t="s">
        <v>177</v>
      </c>
      <c r="J243" s="92">
        <v>3</v>
      </c>
      <c r="K243" s="93">
        <v>40476</v>
      </c>
      <c r="L243" s="115">
        <f>P242-P243</f>
        <v>114.43784488</v>
      </c>
      <c r="M243" s="95">
        <f>P242*O243*T242</f>
        <v>8.2187864386207998</v>
      </c>
      <c r="N243" s="96">
        <f>L243+M243</f>
        <v>122.6566313186208</v>
      </c>
      <c r="O243" s="27">
        <f t="shared" ref="O243:O245" si="24">K243-K242</f>
        <v>20</v>
      </c>
      <c r="P243" s="28">
        <v>510.09</v>
      </c>
      <c r="Q243" s="106"/>
      <c r="R243" s="106"/>
      <c r="S243" t="s">
        <v>73</v>
      </c>
      <c r="T243">
        <f>T242*365/12</f>
        <v>2.0014166666666666E-2</v>
      </c>
    </row>
    <row r="244" spans="1:20" ht="15.75" thickBot="1">
      <c r="A244" s="113"/>
      <c r="B244" t="s">
        <v>173</v>
      </c>
      <c r="J244" s="92">
        <v>4</v>
      </c>
      <c r="K244" s="93">
        <v>40507</v>
      </c>
      <c r="L244" s="115">
        <f>N244-M244</f>
        <v>252.21518417999999</v>
      </c>
      <c r="M244" s="95">
        <f>P243*O244*T242</f>
        <v>10.404815819999998</v>
      </c>
      <c r="N244" s="96">
        <v>262.62</v>
      </c>
      <c r="O244" s="27">
        <f t="shared" si="24"/>
        <v>31</v>
      </c>
      <c r="P244" s="28">
        <f>P243-L244</f>
        <v>257.87481581999998</v>
      </c>
      <c r="Q244" s="106"/>
      <c r="R244" s="106"/>
      <c r="S244" s="106"/>
      <c r="T244" s="106"/>
    </row>
    <row r="245" spans="1:20" ht="15.75" thickBot="1">
      <c r="A245" s="113"/>
      <c r="B245" t="s">
        <v>156</v>
      </c>
      <c r="C245" s="113"/>
      <c r="D245" s="113"/>
      <c r="E245" s="110"/>
      <c r="F245" s="111"/>
      <c r="G245" s="110"/>
      <c r="H245" s="109"/>
      <c r="I245" s="112"/>
      <c r="J245" s="92">
        <v>5</v>
      </c>
      <c r="K245" s="93">
        <v>40537</v>
      </c>
      <c r="L245" s="115">
        <f>P244</f>
        <v>257.87481581999998</v>
      </c>
      <c r="M245" s="95">
        <f>P244*O245*T242</f>
        <v>5.0904488642867989</v>
      </c>
      <c r="N245" s="96">
        <v>262.95999999999998</v>
      </c>
      <c r="O245" s="27">
        <f t="shared" si="24"/>
        <v>30</v>
      </c>
      <c r="P245" s="28">
        <f>P244-L245</f>
        <v>0</v>
      </c>
      <c r="Q245" s="106"/>
      <c r="R245" s="106"/>
      <c r="S245" s="106"/>
      <c r="T245" s="106"/>
    </row>
    <row r="246" spans="1:20">
      <c r="L246" s="25">
        <f>SUM(L241:L245)</f>
        <v>1000</v>
      </c>
      <c r="M246" s="157">
        <f>SUM(M241:M245)</f>
        <v>48.241896002907595</v>
      </c>
      <c r="N246" s="157">
        <f>SUM(N241:N245)</f>
        <v>1048.2366313186208</v>
      </c>
    </row>
    <row r="247" spans="1:20">
      <c r="L247" s="25"/>
    </row>
    <row r="248" spans="1:20" s="134" customFormat="1">
      <c r="A248" s="133"/>
      <c r="H248" s="135"/>
      <c r="L248" s="157"/>
      <c r="S248" s="135"/>
    </row>
    <row r="249" spans="1:20" s="134" customFormat="1" ht="15.75" thickBot="1">
      <c r="A249" s="133" t="s">
        <v>178</v>
      </c>
      <c r="B249" s="134" t="s">
        <v>179</v>
      </c>
      <c r="H249" s="135"/>
      <c r="S249" s="135"/>
      <c r="T249" s="142"/>
    </row>
    <row r="250" spans="1:20" s="134" customFormat="1" ht="15.75" thickBot="1">
      <c r="A250" s="133"/>
      <c r="H250" s="135"/>
      <c r="J250" s="136" t="s">
        <v>56</v>
      </c>
      <c r="K250" s="137" t="s">
        <v>57</v>
      </c>
      <c r="L250" s="137" t="s">
        <v>58</v>
      </c>
      <c r="M250" s="138" t="s">
        <v>59</v>
      </c>
      <c r="N250" s="139" t="s">
        <v>5</v>
      </c>
      <c r="O250" s="140" t="s">
        <v>60</v>
      </c>
      <c r="P250" s="141" t="s">
        <v>61</v>
      </c>
      <c r="S250" s="134" t="s">
        <v>62</v>
      </c>
      <c r="T250" s="134">
        <v>1000</v>
      </c>
    </row>
    <row r="251" spans="1:20" s="134" customFormat="1" ht="15.75" thickBot="1">
      <c r="A251" s="155"/>
      <c r="B251" s="134" t="s">
        <v>75</v>
      </c>
      <c r="H251" s="135"/>
      <c r="J251" s="143">
        <v>1</v>
      </c>
      <c r="K251" s="144">
        <v>40436</v>
      </c>
      <c r="L251" s="145">
        <f>N251-M251</f>
        <v>186.18199999999999</v>
      </c>
      <c r="M251" s="146">
        <f>T250*O251*T252</f>
        <v>13.818</v>
      </c>
      <c r="N251" s="145">
        <v>200</v>
      </c>
      <c r="O251" s="162">
        <f>K251-T251</f>
        <v>21</v>
      </c>
      <c r="P251" s="148">
        <f>T250-L251</f>
        <v>813.81799999999998</v>
      </c>
      <c r="S251" s="134" t="s">
        <v>63</v>
      </c>
      <c r="T251" s="149">
        <v>40415</v>
      </c>
    </row>
    <row r="252" spans="1:20" s="134" customFormat="1" ht="15.75" thickBot="1">
      <c r="A252" s="156"/>
      <c r="B252" s="134" t="s">
        <v>176</v>
      </c>
      <c r="H252" s="135"/>
      <c r="J252" s="143">
        <v>2</v>
      </c>
      <c r="K252" s="144">
        <v>40456</v>
      </c>
      <c r="L252" s="150">
        <f>N252-M252</f>
        <v>51.130155120000005</v>
      </c>
      <c r="M252" s="146">
        <f>P251*O252*T252</f>
        <v>10.70984488</v>
      </c>
      <c r="N252" s="145">
        <v>61.84</v>
      </c>
      <c r="O252" s="147">
        <f>K252-K251</f>
        <v>20</v>
      </c>
      <c r="P252" s="148">
        <f>P251-L252</f>
        <v>762.68784487999994</v>
      </c>
      <c r="S252" s="134" t="s">
        <v>72</v>
      </c>
      <c r="T252" s="151">
        <v>6.5799999999999995E-4</v>
      </c>
    </row>
    <row r="253" spans="1:20" s="134" customFormat="1" ht="15.75" thickBot="1">
      <c r="A253" s="153"/>
      <c r="B253" s="134" t="s">
        <v>180</v>
      </c>
      <c r="H253" s="135"/>
      <c r="J253" s="143">
        <v>3</v>
      </c>
      <c r="K253" s="144">
        <v>40476</v>
      </c>
      <c r="L253" s="150">
        <f>P252-P253</f>
        <v>252.59784487999997</v>
      </c>
      <c r="M253" s="146">
        <f>P252*O253*T252</f>
        <v>10.036972038620798</v>
      </c>
      <c r="N253" s="145">
        <f>L253+M253</f>
        <v>262.63481691862074</v>
      </c>
      <c r="O253" s="147">
        <f t="shared" ref="O253:O255" si="25">K253-K252</f>
        <v>20</v>
      </c>
      <c r="P253" s="148">
        <v>510.09</v>
      </c>
      <c r="S253" s="134" t="s">
        <v>73</v>
      </c>
      <c r="T253" s="134">
        <f>T252*365/12</f>
        <v>2.0014166666666666E-2</v>
      </c>
    </row>
    <row r="254" spans="1:20" s="134" customFormat="1" ht="15.75" thickBot="1">
      <c r="A254" s="153"/>
      <c r="B254" s="134" t="s">
        <v>173</v>
      </c>
      <c r="H254" s="135"/>
      <c r="J254" s="143">
        <v>4</v>
      </c>
      <c r="K254" s="144">
        <v>40507</v>
      </c>
      <c r="L254" s="150">
        <f>N254-M254</f>
        <v>252.21518417999999</v>
      </c>
      <c r="M254" s="146">
        <f>P253*O254*T252</f>
        <v>10.404815819999998</v>
      </c>
      <c r="N254" s="145">
        <v>262.62</v>
      </c>
      <c r="O254" s="147">
        <f t="shared" si="25"/>
        <v>31</v>
      </c>
      <c r="P254" s="148">
        <f>P253-L254</f>
        <v>257.87481581999998</v>
      </c>
    </row>
    <row r="255" spans="1:20" s="134" customFormat="1" ht="15.75" thickBot="1">
      <c r="A255" s="153"/>
      <c r="B255" s="134" t="s">
        <v>156</v>
      </c>
      <c r="C255" s="153"/>
      <c r="D255" s="153"/>
      <c r="E255" s="158"/>
      <c r="F255" s="159"/>
      <c r="G255" s="158"/>
      <c r="H255" s="154"/>
      <c r="I255" s="160"/>
      <c r="J255" s="143">
        <v>5</v>
      </c>
      <c r="K255" s="144">
        <v>40537</v>
      </c>
      <c r="L255" s="150">
        <f>P254</f>
        <v>257.87481581999998</v>
      </c>
      <c r="M255" s="146">
        <f>P254*O255*T252</f>
        <v>5.0904488642867989</v>
      </c>
      <c r="N255" s="145">
        <v>262.95999999999998</v>
      </c>
      <c r="O255" s="147">
        <f t="shared" si="25"/>
        <v>30</v>
      </c>
      <c r="P255" s="148">
        <f>P254-L255</f>
        <v>0</v>
      </c>
    </row>
    <row r="256" spans="1:20" s="134" customFormat="1">
      <c r="A256" s="133"/>
      <c r="H256" s="135"/>
      <c r="L256" s="157">
        <f>SUM(L251:L255)</f>
        <v>999.99999999999989</v>
      </c>
      <c r="M256" s="157">
        <f>SUM(M251:M255)</f>
        <v>50.060081602907594</v>
      </c>
      <c r="N256" s="157">
        <f>SUM(N251:N255)</f>
        <v>1050.0548169186206</v>
      </c>
      <c r="S256" s="135"/>
    </row>
    <row r="257" spans="1:20" s="134" customFormat="1">
      <c r="A257" s="133"/>
      <c r="H257" s="135"/>
      <c r="S257" s="135"/>
    </row>
    <row r="259" spans="1:20" ht="15.75" thickBot="1">
      <c r="A259" s="105" t="s">
        <v>182</v>
      </c>
      <c r="B259" t="s">
        <v>183</v>
      </c>
      <c r="Q259" s="106"/>
      <c r="R259" s="106"/>
      <c r="S259" s="107"/>
      <c r="T259" s="97"/>
    </row>
    <row r="260" spans="1:20" ht="15.75" thickBot="1">
      <c r="A260" s="105"/>
      <c r="J260" s="86" t="s">
        <v>56</v>
      </c>
      <c r="K260" s="87" t="s">
        <v>57</v>
      </c>
      <c r="L260" s="87" t="s">
        <v>58</v>
      </c>
      <c r="M260" s="88" t="s">
        <v>59</v>
      </c>
      <c r="N260" s="89" t="s">
        <v>5</v>
      </c>
      <c r="O260" s="90" t="s">
        <v>60</v>
      </c>
      <c r="P260" s="91" t="s">
        <v>61</v>
      </c>
      <c r="Q260" s="106"/>
      <c r="R260" s="106"/>
      <c r="S260" t="s">
        <v>62</v>
      </c>
      <c r="T260">
        <v>1000</v>
      </c>
    </row>
    <row r="261" spans="1:20" ht="15.75" thickBot="1">
      <c r="A261" s="108"/>
      <c r="B261" t="s">
        <v>75</v>
      </c>
      <c r="J261" s="92">
        <v>1</v>
      </c>
      <c r="K261" s="93">
        <v>40436</v>
      </c>
      <c r="L261" s="96">
        <f>N261-M261</f>
        <v>186.18199999999999</v>
      </c>
      <c r="M261" s="95">
        <f>T260*O261*T262</f>
        <v>13.818</v>
      </c>
      <c r="N261" s="96">
        <v>200</v>
      </c>
      <c r="O261" s="74">
        <f>K261-T261</f>
        <v>21</v>
      </c>
      <c r="P261" s="28">
        <f>T260-L261</f>
        <v>813.81799999999998</v>
      </c>
      <c r="Q261" s="106"/>
      <c r="R261" s="106"/>
      <c r="S261" t="s">
        <v>63</v>
      </c>
      <c r="T261" s="98">
        <v>40415</v>
      </c>
    </row>
    <row r="262" spans="1:20" ht="15.75" thickBot="1">
      <c r="A262" s="118"/>
      <c r="B262" t="s">
        <v>176</v>
      </c>
      <c r="J262" s="92">
        <v>2</v>
      </c>
      <c r="K262" s="93">
        <v>40441</v>
      </c>
      <c r="L262" s="115">
        <f>N262-M262</f>
        <v>67.322538780000002</v>
      </c>
      <c r="M262" s="95">
        <f>P261*O262*T262</f>
        <v>2.6774612200000001</v>
      </c>
      <c r="N262" s="96">
        <v>70</v>
      </c>
      <c r="O262" s="27">
        <f>K262-K261</f>
        <v>5</v>
      </c>
      <c r="P262" s="28">
        <f>P261-L262</f>
        <v>746.49546121999992</v>
      </c>
      <c r="Q262" s="106"/>
      <c r="R262" s="106"/>
      <c r="S262" t="s">
        <v>72</v>
      </c>
      <c r="T262" s="99">
        <v>6.5799999999999995E-4</v>
      </c>
    </row>
    <row r="263" spans="1:20" ht="15.75" thickBot="1">
      <c r="A263" s="113"/>
      <c r="B263" t="s">
        <v>184</v>
      </c>
      <c r="J263" s="92">
        <v>3</v>
      </c>
      <c r="K263" s="93">
        <v>40476</v>
      </c>
      <c r="L263" s="115">
        <f>P262-P263</f>
        <v>236.40546121999995</v>
      </c>
      <c r="M263" s="95">
        <f>P262*O263*T262</f>
        <v>17.191790471896596</v>
      </c>
      <c r="N263" s="96">
        <f>L263+M263</f>
        <v>253.59725169189653</v>
      </c>
      <c r="O263" s="27">
        <f t="shared" ref="O263:O265" si="26">K263-K262</f>
        <v>35</v>
      </c>
      <c r="P263" s="28">
        <v>510.09</v>
      </c>
      <c r="Q263" s="106"/>
      <c r="R263" s="106"/>
      <c r="S263" t="s">
        <v>73</v>
      </c>
      <c r="T263">
        <f>T262*365/12</f>
        <v>2.0014166666666666E-2</v>
      </c>
    </row>
    <row r="264" spans="1:20" ht="15.75" thickBot="1">
      <c r="A264" s="113"/>
      <c r="B264" t="s">
        <v>173</v>
      </c>
      <c r="J264" s="92">
        <v>4</v>
      </c>
      <c r="K264" s="93">
        <v>40507</v>
      </c>
      <c r="L264" s="115">
        <f>N264-M264</f>
        <v>252.21518417999999</v>
      </c>
      <c r="M264" s="95">
        <f>P263*O264*T262</f>
        <v>10.404815819999998</v>
      </c>
      <c r="N264" s="96">
        <v>262.62</v>
      </c>
      <c r="O264" s="27">
        <f t="shared" si="26"/>
        <v>31</v>
      </c>
      <c r="P264" s="28">
        <f>P263-L264</f>
        <v>257.87481581999998</v>
      </c>
      <c r="Q264" s="106"/>
      <c r="R264" s="106"/>
      <c r="S264" s="106"/>
      <c r="T264" s="106"/>
    </row>
    <row r="265" spans="1:20" ht="15.75" thickBot="1">
      <c r="A265" s="113"/>
      <c r="B265" t="s">
        <v>156</v>
      </c>
      <c r="C265" s="113"/>
      <c r="D265" s="113"/>
      <c r="E265" s="110"/>
      <c r="F265" s="111"/>
      <c r="G265" s="110"/>
      <c r="H265" s="109"/>
      <c r="I265" s="112"/>
      <c r="J265" s="92">
        <v>5</v>
      </c>
      <c r="K265" s="93">
        <v>40537</v>
      </c>
      <c r="L265" s="115">
        <f>P264</f>
        <v>257.87481581999998</v>
      </c>
      <c r="M265" s="95">
        <f>P264*O265*T262</f>
        <v>5.0904488642867989</v>
      </c>
      <c r="N265" s="96">
        <v>262.95999999999998</v>
      </c>
      <c r="O265" s="27">
        <f t="shared" si="26"/>
        <v>30</v>
      </c>
      <c r="P265" s="28">
        <f>P264-L265</f>
        <v>0</v>
      </c>
      <c r="Q265" s="106"/>
      <c r="R265" s="106"/>
      <c r="S265" s="106"/>
      <c r="T265" s="106"/>
    </row>
    <row r="266" spans="1:20">
      <c r="L266" s="25">
        <f>SUM(L261:L265)</f>
        <v>999.99999999999989</v>
      </c>
      <c r="M266" s="157">
        <f>SUM(M261:M265)</f>
        <v>49.182516376183386</v>
      </c>
      <c r="N266" s="157">
        <f>SUM(N261:N265)</f>
        <v>1049.1772516918966</v>
      </c>
    </row>
    <row r="268" spans="1:20" s="134" customFormat="1">
      <c r="A268" s="133"/>
      <c r="H268" s="135"/>
      <c r="S268" s="135"/>
    </row>
    <row r="269" spans="1:20" s="134" customFormat="1" ht="15.75" thickBot="1">
      <c r="A269" s="133" t="s">
        <v>185</v>
      </c>
      <c r="B269" s="134" t="s">
        <v>187</v>
      </c>
      <c r="H269" s="135"/>
      <c r="S269" s="135"/>
      <c r="T269" s="142"/>
    </row>
    <row r="270" spans="1:20" s="134" customFormat="1" ht="15.75" thickBot="1">
      <c r="A270" s="133"/>
      <c r="H270" s="135"/>
      <c r="J270" s="136" t="s">
        <v>56</v>
      </c>
      <c r="K270" s="137" t="s">
        <v>57</v>
      </c>
      <c r="L270" s="137" t="s">
        <v>58</v>
      </c>
      <c r="M270" s="138" t="s">
        <v>59</v>
      </c>
      <c r="N270" s="139" t="s">
        <v>5</v>
      </c>
      <c r="O270" s="140" t="s">
        <v>60</v>
      </c>
      <c r="P270" s="141" t="s">
        <v>61</v>
      </c>
      <c r="S270" s="134" t="s">
        <v>62</v>
      </c>
      <c r="T270" s="134">
        <v>1000</v>
      </c>
    </row>
    <row r="271" spans="1:20" s="134" customFormat="1" ht="15.75" thickBot="1">
      <c r="A271" s="155"/>
      <c r="B271" s="134" t="s">
        <v>75</v>
      </c>
      <c r="H271" s="135"/>
      <c r="J271" s="143">
        <v>1</v>
      </c>
      <c r="K271" s="144">
        <v>40451</v>
      </c>
      <c r="L271" s="145">
        <f>N271-M271</f>
        <v>76.311999999999998</v>
      </c>
      <c r="M271" s="146">
        <f>T270*O271*T272</f>
        <v>23.687999999999999</v>
      </c>
      <c r="N271" s="145">
        <v>100</v>
      </c>
      <c r="O271" s="162">
        <f>K271-T271</f>
        <v>36</v>
      </c>
      <c r="P271" s="148">
        <f>T270-L271</f>
        <v>923.68799999999999</v>
      </c>
      <c r="S271" s="134" t="s">
        <v>63</v>
      </c>
      <c r="T271" s="149">
        <v>40415</v>
      </c>
    </row>
    <row r="272" spans="1:20" s="134" customFormat="1" ht="15.75" thickBot="1">
      <c r="A272" s="156"/>
      <c r="B272" s="134" t="s">
        <v>188</v>
      </c>
      <c r="H272" s="135"/>
      <c r="J272" s="143">
        <v>2</v>
      </c>
      <c r="K272" s="144">
        <v>40456</v>
      </c>
      <c r="L272" s="150">
        <f>N272-M272</f>
        <v>96.96106648</v>
      </c>
      <c r="M272" s="146">
        <f>P271*O272*T272</f>
        <v>3.0389335199999996</v>
      </c>
      <c r="N272" s="145">
        <v>100</v>
      </c>
      <c r="O272" s="147">
        <f>K272-K271</f>
        <v>5</v>
      </c>
      <c r="P272" s="148">
        <f>P271-L272</f>
        <v>826.72693351999999</v>
      </c>
      <c r="S272" s="134" t="s">
        <v>72</v>
      </c>
      <c r="T272" s="151">
        <v>6.5799999999999995E-4</v>
      </c>
    </row>
    <row r="273" spans="1:20" s="134" customFormat="1" ht="15.75" thickBot="1">
      <c r="A273" s="153"/>
      <c r="B273" s="134" t="s">
        <v>172</v>
      </c>
      <c r="H273" s="135"/>
      <c r="J273" s="143">
        <v>3</v>
      </c>
      <c r="K273" s="144">
        <v>40476</v>
      </c>
      <c r="L273" s="150">
        <f>P272-P273</f>
        <v>316.63693352000001</v>
      </c>
      <c r="M273" s="146">
        <f>P272*O273*T272</f>
        <v>10.8797264451232</v>
      </c>
      <c r="N273" s="145">
        <f>L273+M273</f>
        <v>327.51665996512321</v>
      </c>
      <c r="O273" s="147">
        <f t="shared" ref="O273:O275" si="27">K273-K272</f>
        <v>20</v>
      </c>
      <c r="P273" s="148">
        <v>510.09</v>
      </c>
      <c r="S273" s="134" t="s">
        <v>73</v>
      </c>
      <c r="T273" s="134">
        <f>T272*365/12</f>
        <v>2.0014166666666666E-2</v>
      </c>
    </row>
    <row r="274" spans="1:20" s="134" customFormat="1" ht="15.75" thickBot="1">
      <c r="A274" s="153"/>
      <c r="B274" s="134" t="s">
        <v>173</v>
      </c>
      <c r="H274" s="135"/>
      <c r="J274" s="143">
        <v>4</v>
      </c>
      <c r="K274" s="144">
        <v>40507</v>
      </c>
      <c r="L274" s="150">
        <f>N274-M274</f>
        <v>252.21518417999999</v>
      </c>
      <c r="M274" s="146">
        <f>P273*O274*T272</f>
        <v>10.404815819999998</v>
      </c>
      <c r="N274" s="145">
        <v>262.62</v>
      </c>
      <c r="O274" s="147">
        <f t="shared" si="27"/>
        <v>31</v>
      </c>
      <c r="P274" s="148">
        <f>P273-L274</f>
        <v>257.87481581999998</v>
      </c>
    </row>
    <row r="275" spans="1:20" s="134" customFormat="1" ht="15.75" thickBot="1">
      <c r="A275" s="153"/>
      <c r="B275" s="134" t="s">
        <v>174</v>
      </c>
      <c r="C275" s="153"/>
      <c r="D275" s="153"/>
      <c r="E275" s="158"/>
      <c r="F275" s="159"/>
      <c r="G275" s="158"/>
      <c r="H275" s="154"/>
      <c r="I275" s="160"/>
      <c r="J275" s="143">
        <v>5</v>
      </c>
      <c r="K275" s="144">
        <v>40537</v>
      </c>
      <c r="L275" s="150">
        <f>P274</f>
        <v>257.87481581999998</v>
      </c>
      <c r="M275" s="146">
        <f>P274*O275*T272</f>
        <v>5.0904488642867989</v>
      </c>
      <c r="N275" s="145">
        <v>262.95999999999998</v>
      </c>
      <c r="O275" s="147">
        <f t="shared" si="27"/>
        <v>30</v>
      </c>
      <c r="P275" s="148">
        <f>P274-L275</f>
        <v>0</v>
      </c>
    </row>
    <row r="276" spans="1:20" s="134" customFormat="1">
      <c r="A276" s="133"/>
      <c r="H276" s="135"/>
      <c r="L276" s="157">
        <f>SUM(L271:L275)</f>
        <v>1000</v>
      </c>
      <c r="M276" s="157">
        <f>SUM(M271:M275)</f>
        <v>53.101924649409995</v>
      </c>
      <c r="N276" s="157">
        <f>SUM(N271:N275)</f>
        <v>1053.0966599651231</v>
      </c>
      <c r="S276" s="135"/>
    </row>
    <row r="277" spans="1:20" s="134" customFormat="1">
      <c r="A277" s="133"/>
      <c r="H277" s="135"/>
      <c r="L277" s="157"/>
      <c r="S277" s="135"/>
    </row>
    <row r="279" spans="1:20" ht="15.75" thickBot="1">
      <c r="A279" s="105" t="s">
        <v>186</v>
      </c>
      <c r="B279" t="s">
        <v>298</v>
      </c>
      <c r="Q279" s="106"/>
      <c r="R279" s="106"/>
      <c r="S279" s="107"/>
      <c r="T279" s="97"/>
    </row>
    <row r="280" spans="1:20" ht="15.75" thickBot="1">
      <c r="A280" s="105"/>
      <c r="J280" s="86" t="s">
        <v>56</v>
      </c>
      <c r="K280" s="87" t="s">
        <v>57</v>
      </c>
      <c r="L280" s="87" t="s">
        <v>58</v>
      </c>
      <c r="M280" s="88" t="s">
        <v>59</v>
      </c>
      <c r="N280" s="89" t="s">
        <v>5</v>
      </c>
      <c r="O280" s="90" t="s">
        <v>60</v>
      </c>
      <c r="P280" s="91" t="s">
        <v>61</v>
      </c>
      <c r="Q280" s="106"/>
      <c r="R280" s="106"/>
      <c r="S280" t="s">
        <v>62</v>
      </c>
      <c r="T280">
        <v>1000</v>
      </c>
    </row>
    <row r="281" spans="1:20" ht="15.75" thickBot="1">
      <c r="A281" s="108"/>
      <c r="B281" t="s">
        <v>75</v>
      </c>
      <c r="J281" s="92">
        <v>1</v>
      </c>
      <c r="K281" s="93">
        <v>40446</v>
      </c>
      <c r="L281" s="96">
        <f>N281-M281</f>
        <v>179.602</v>
      </c>
      <c r="M281" s="95">
        <f>T280*O281*T282</f>
        <v>20.398</v>
      </c>
      <c r="N281" s="96">
        <v>200</v>
      </c>
      <c r="O281" s="74">
        <f>K281-T281</f>
        <v>31</v>
      </c>
      <c r="P281" s="28">
        <f>T280-L281</f>
        <v>820.39800000000002</v>
      </c>
      <c r="Q281" s="106"/>
      <c r="R281" s="106"/>
      <c r="S281" t="s">
        <v>63</v>
      </c>
      <c r="T281" s="98">
        <v>40415</v>
      </c>
    </row>
    <row r="282" spans="1:20" ht="15.75" thickBot="1">
      <c r="A282" s="118"/>
      <c r="B282" t="s">
        <v>92</v>
      </c>
      <c r="J282" s="92">
        <v>2</v>
      </c>
      <c r="K282" s="93">
        <v>40476</v>
      </c>
      <c r="L282" s="115">
        <f>P281-P282</f>
        <v>310.30800000000005</v>
      </c>
      <c r="M282" s="95">
        <f>P281*O282*T282</f>
        <v>16.194656519999999</v>
      </c>
      <c r="N282" s="96">
        <f>L282+M282</f>
        <v>326.50265652000007</v>
      </c>
      <c r="O282" s="27">
        <f>K282-K281</f>
        <v>30</v>
      </c>
      <c r="P282" s="28">
        <v>510.09</v>
      </c>
      <c r="Q282" s="106"/>
      <c r="R282" s="106"/>
      <c r="S282" t="s">
        <v>72</v>
      </c>
      <c r="T282" s="99">
        <v>6.5799999999999995E-4</v>
      </c>
    </row>
    <row r="283" spans="1:20" ht="15.75" thickBot="1">
      <c r="A283" s="113"/>
      <c r="B283" t="s">
        <v>189</v>
      </c>
      <c r="J283" s="92">
        <v>3</v>
      </c>
      <c r="K283" s="93">
        <v>40507</v>
      </c>
      <c r="L283" s="115">
        <f>N283-M283</f>
        <v>252.21518417999999</v>
      </c>
      <c r="M283" s="95">
        <f>P282*O283*T282</f>
        <v>10.404815819999998</v>
      </c>
      <c r="N283" s="96">
        <v>262.62</v>
      </c>
      <c r="O283" s="27">
        <f t="shared" ref="O283:O284" si="28">K283-K282</f>
        <v>31</v>
      </c>
      <c r="P283" s="28">
        <f>P282-L283</f>
        <v>257.87481581999998</v>
      </c>
      <c r="Q283" s="106"/>
      <c r="R283" s="106"/>
      <c r="S283" t="s">
        <v>73</v>
      </c>
      <c r="T283">
        <f>T282*365/12</f>
        <v>2.0014166666666666E-2</v>
      </c>
    </row>
    <row r="284" spans="1:20" ht="15.75" thickBot="1">
      <c r="A284" s="113"/>
      <c r="B284" t="s">
        <v>190</v>
      </c>
      <c r="J284" s="92">
        <v>4</v>
      </c>
      <c r="K284" s="93">
        <v>40537</v>
      </c>
      <c r="L284" s="115">
        <f>N284-M284</f>
        <v>257.86955113571321</v>
      </c>
      <c r="M284" s="95">
        <f>P283*O284*T282</f>
        <v>5.0904488642867989</v>
      </c>
      <c r="N284" s="96">
        <v>262.95999999999998</v>
      </c>
      <c r="O284" s="27">
        <f t="shared" si="28"/>
        <v>30</v>
      </c>
      <c r="P284" s="28">
        <f>P283-L284</f>
        <v>5.2646842867716259E-3</v>
      </c>
      <c r="Q284" s="106"/>
      <c r="R284" s="106"/>
      <c r="S284" s="106"/>
      <c r="T284" s="106"/>
    </row>
    <row r="285" spans="1:20">
      <c r="A285" s="113"/>
      <c r="B285" t="s">
        <v>174</v>
      </c>
      <c r="C285" s="113"/>
      <c r="D285" s="113"/>
      <c r="E285" s="110"/>
      <c r="F285" s="111"/>
      <c r="G285" s="110"/>
      <c r="H285" s="109"/>
      <c r="I285" s="112"/>
      <c r="L285" s="25">
        <f>SUM(L281:L284)</f>
        <v>999.99473531571334</v>
      </c>
      <c r="M285" s="157">
        <f>SUM(M280:M284)</f>
        <v>52.087921204286793</v>
      </c>
      <c r="N285" s="157">
        <f>SUM(N280:N284)</f>
        <v>1052.08265652</v>
      </c>
      <c r="Q285" s="106"/>
      <c r="R285" s="106"/>
      <c r="S285" s="106"/>
      <c r="T285" s="106"/>
    </row>
    <row r="288" spans="1:20" s="134" customFormat="1">
      <c r="A288" s="133"/>
      <c r="H288" s="135"/>
      <c r="S288" s="135"/>
    </row>
    <row r="289" spans="1:20" s="134" customFormat="1" ht="15.75" thickBot="1">
      <c r="A289" s="133" t="s">
        <v>191</v>
      </c>
      <c r="B289" s="134" t="s">
        <v>296</v>
      </c>
      <c r="H289" s="135"/>
      <c r="S289" s="135"/>
      <c r="T289" s="142"/>
    </row>
    <row r="290" spans="1:20" s="134" customFormat="1" ht="15.75" thickBot="1">
      <c r="A290" s="133"/>
      <c r="H290" s="135"/>
      <c r="J290" s="136" t="s">
        <v>56</v>
      </c>
      <c r="K290" s="137" t="s">
        <v>57</v>
      </c>
      <c r="L290" s="137" t="s">
        <v>58</v>
      </c>
      <c r="M290" s="138" t="s">
        <v>59</v>
      </c>
      <c r="N290" s="139" t="s">
        <v>5</v>
      </c>
      <c r="O290" s="140" t="s">
        <v>60</v>
      </c>
      <c r="P290" s="141" t="s">
        <v>61</v>
      </c>
      <c r="S290" s="134" t="s">
        <v>62</v>
      </c>
      <c r="T290" s="134">
        <v>1000</v>
      </c>
    </row>
    <row r="291" spans="1:20" s="134" customFormat="1" ht="15.75" thickBot="1">
      <c r="A291" s="155"/>
      <c r="B291" s="134" t="s">
        <v>75</v>
      </c>
      <c r="H291" s="135"/>
      <c r="J291" s="143">
        <v>1</v>
      </c>
      <c r="K291" s="144">
        <v>40446</v>
      </c>
      <c r="L291" s="145">
        <f>N291-M291</f>
        <v>279.60199999999998</v>
      </c>
      <c r="M291" s="146">
        <f>T290*O291*T292</f>
        <v>20.398</v>
      </c>
      <c r="N291" s="145">
        <v>300</v>
      </c>
      <c r="O291" s="162">
        <f>K291-T291</f>
        <v>31</v>
      </c>
      <c r="P291" s="148">
        <f>T290-L291</f>
        <v>720.39800000000002</v>
      </c>
      <c r="S291" s="134" t="s">
        <v>63</v>
      </c>
      <c r="T291" s="149">
        <v>40415</v>
      </c>
    </row>
    <row r="292" spans="1:20" s="134" customFormat="1" ht="15.75" thickBot="1">
      <c r="A292" s="156"/>
      <c r="B292" s="134" t="s">
        <v>92</v>
      </c>
      <c r="H292" s="135"/>
      <c r="J292" s="143">
        <v>2</v>
      </c>
      <c r="K292" s="144">
        <v>40476</v>
      </c>
      <c r="L292" s="150">
        <f>P291-P292</f>
        <v>210.30800000000005</v>
      </c>
      <c r="M292" s="146">
        <f>P291*O292*T292</f>
        <v>14.22065652</v>
      </c>
      <c r="N292" s="145">
        <f>L292+M292</f>
        <v>224.52865652000006</v>
      </c>
      <c r="O292" s="147">
        <f>K292-K291</f>
        <v>30</v>
      </c>
      <c r="P292" s="148">
        <v>510.09</v>
      </c>
      <c r="S292" s="134" t="s">
        <v>72</v>
      </c>
      <c r="T292" s="151">
        <v>6.5799999999999995E-4</v>
      </c>
    </row>
    <row r="293" spans="1:20" s="134" customFormat="1" ht="15.75" thickBot="1">
      <c r="A293" s="153"/>
      <c r="B293" s="134" t="s">
        <v>189</v>
      </c>
      <c r="H293" s="135"/>
      <c r="J293" s="143">
        <v>3</v>
      </c>
      <c r="K293" s="144">
        <v>40507</v>
      </c>
      <c r="L293" s="150">
        <f>N293-M293</f>
        <v>252.21518417999999</v>
      </c>
      <c r="M293" s="146">
        <f>P292*O293*T292</f>
        <v>10.404815819999998</v>
      </c>
      <c r="N293" s="145">
        <v>262.62</v>
      </c>
      <c r="O293" s="147">
        <f t="shared" ref="O293:O294" si="29">K293-K292</f>
        <v>31</v>
      </c>
      <c r="P293" s="148">
        <f>P292-L293</f>
        <v>257.87481581999998</v>
      </c>
      <c r="S293" s="134" t="s">
        <v>73</v>
      </c>
      <c r="T293" s="134">
        <f>T292*365/12</f>
        <v>2.0014166666666666E-2</v>
      </c>
    </row>
    <row r="294" spans="1:20" s="134" customFormat="1" ht="15.75" thickBot="1">
      <c r="A294" s="153"/>
      <c r="B294" s="134" t="s">
        <v>192</v>
      </c>
      <c r="H294" s="135"/>
      <c r="J294" s="143">
        <v>4</v>
      </c>
      <c r="K294" s="144">
        <v>40537</v>
      </c>
      <c r="L294" s="150">
        <f>N294-M294</f>
        <v>257.86955113571321</v>
      </c>
      <c r="M294" s="146">
        <f>P293*O294*T292</f>
        <v>5.0904488642867989</v>
      </c>
      <c r="N294" s="145">
        <v>262.95999999999998</v>
      </c>
      <c r="O294" s="147">
        <f t="shared" si="29"/>
        <v>30</v>
      </c>
      <c r="P294" s="148">
        <f>P293-L294</f>
        <v>5.2646842867716259E-3</v>
      </c>
    </row>
    <row r="295" spans="1:20" s="134" customFormat="1">
      <c r="A295" s="153"/>
      <c r="B295" s="134" t="s">
        <v>156</v>
      </c>
      <c r="C295" s="153"/>
      <c r="D295" s="153"/>
      <c r="E295" s="158"/>
      <c r="F295" s="159"/>
      <c r="G295" s="158"/>
      <c r="H295" s="154"/>
      <c r="I295" s="160"/>
      <c r="L295" s="157">
        <f>SUM(L291:L294)</f>
        <v>999.99473531571323</v>
      </c>
      <c r="M295" s="157">
        <f>SUM(M290:M294)</f>
        <v>50.113921204286797</v>
      </c>
      <c r="N295" s="157">
        <f>SUM(N290:N294)</f>
        <v>1050.1086565200001</v>
      </c>
    </row>
    <row r="296" spans="1:20" s="134" customFormat="1">
      <c r="A296" s="133"/>
      <c r="H296" s="135"/>
      <c r="S296" s="135"/>
    </row>
    <row r="298" spans="1:20" ht="15.75" thickBot="1">
      <c r="A298" s="105" t="s">
        <v>193</v>
      </c>
      <c r="B298" t="s">
        <v>297</v>
      </c>
      <c r="Q298" s="106"/>
      <c r="R298" s="106"/>
      <c r="S298" s="107"/>
      <c r="T298" s="97"/>
    </row>
    <row r="299" spans="1:20" ht="15.75" thickBot="1">
      <c r="A299" s="105"/>
      <c r="J299" s="86" t="s">
        <v>56</v>
      </c>
      <c r="K299" s="87" t="s">
        <v>57</v>
      </c>
      <c r="L299" s="87" t="s">
        <v>58</v>
      </c>
      <c r="M299" s="88" t="s">
        <v>59</v>
      </c>
      <c r="N299" s="89" t="s">
        <v>5</v>
      </c>
      <c r="O299" s="90" t="s">
        <v>60</v>
      </c>
      <c r="P299" s="91" t="s">
        <v>61</v>
      </c>
      <c r="Q299" s="106"/>
      <c r="R299" s="106"/>
      <c r="S299" t="s">
        <v>62</v>
      </c>
      <c r="T299">
        <v>1000</v>
      </c>
    </row>
    <row r="300" spans="1:20" ht="15.75" thickBot="1">
      <c r="A300" s="108"/>
      <c r="B300" t="s">
        <v>75</v>
      </c>
      <c r="J300" s="92">
        <v>1</v>
      </c>
      <c r="K300" s="93">
        <v>40446</v>
      </c>
      <c r="L300" s="96"/>
      <c r="M300" s="95"/>
      <c r="N300" s="96"/>
      <c r="O300" s="74">
        <f>K300-T300</f>
        <v>31</v>
      </c>
      <c r="P300" s="28">
        <f>T299-L300</f>
        <v>1000</v>
      </c>
      <c r="Q300" s="106"/>
      <c r="R300" s="106"/>
      <c r="S300" t="s">
        <v>63</v>
      </c>
      <c r="T300" s="98">
        <v>40415</v>
      </c>
    </row>
    <row r="301" spans="1:20" ht="15.75" thickBot="1">
      <c r="A301" s="118"/>
      <c r="B301" t="s">
        <v>92</v>
      </c>
      <c r="J301" s="92">
        <v>2</v>
      </c>
      <c r="K301" s="93">
        <v>40476</v>
      </c>
      <c r="L301" s="115">
        <f>P300-P301</f>
        <v>489.91</v>
      </c>
      <c r="M301" s="95">
        <f>P300*O301*T301</f>
        <v>40.137999999999998</v>
      </c>
      <c r="N301" s="96">
        <f>L301+M301</f>
        <v>530.048</v>
      </c>
      <c r="O301" s="27">
        <f>K301-T300</f>
        <v>61</v>
      </c>
      <c r="P301" s="28">
        <v>510.09</v>
      </c>
      <c r="Q301" s="106"/>
      <c r="R301" s="106"/>
      <c r="S301" t="s">
        <v>72</v>
      </c>
      <c r="T301" s="99">
        <v>6.5799999999999995E-4</v>
      </c>
    </row>
    <row r="302" spans="1:20" ht="15.75" thickBot="1">
      <c r="A302" s="113"/>
      <c r="B302" t="s">
        <v>189</v>
      </c>
      <c r="J302" s="92">
        <v>3</v>
      </c>
      <c r="K302" s="93">
        <v>40507</v>
      </c>
      <c r="L302" s="115">
        <f>N302-M302</f>
        <v>252.21518417999999</v>
      </c>
      <c r="M302" s="95">
        <f>P301*O302*T301</f>
        <v>10.404815819999998</v>
      </c>
      <c r="N302" s="96">
        <v>262.62</v>
      </c>
      <c r="O302" s="27">
        <f t="shared" ref="O302:O303" si="30">K302-K301</f>
        <v>31</v>
      </c>
      <c r="P302" s="28">
        <f>P301-L302</f>
        <v>257.87481581999998</v>
      </c>
      <c r="Q302" s="106"/>
      <c r="R302" s="106"/>
      <c r="S302" t="s">
        <v>73</v>
      </c>
      <c r="T302">
        <f>T301*365/12</f>
        <v>2.0014166666666666E-2</v>
      </c>
    </row>
    <row r="303" spans="1:20" ht="15.75" thickBot="1">
      <c r="A303" s="113"/>
      <c r="B303" t="s">
        <v>194</v>
      </c>
      <c r="J303" s="92">
        <v>4</v>
      </c>
      <c r="K303" s="93">
        <v>40537</v>
      </c>
      <c r="L303" s="115">
        <f>N303-M303</f>
        <v>257.86955113571321</v>
      </c>
      <c r="M303" s="95">
        <f>P302*O303*T301</f>
        <v>5.0904488642867989</v>
      </c>
      <c r="N303" s="96">
        <v>262.95999999999998</v>
      </c>
      <c r="O303" s="27">
        <f t="shared" si="30"/>
        <v>30</v>
      </c>
      <c r="P303" s="28">
        <f>P302-L303</f>
        <v>5.2646842867716259E-3</v>
      </c>
      <c r="Q303" s="106"/>
      <c r="R303" s="106"/>
      <c r="S303" s="106"/>
      <c r="T303" s="106"/>
    </row>
    <row r="304" spans="1:20">
      <c r="A304" s="113"/>
      <c r="B304" t="s">
        <v>174</v>
      </c>
      <c r="C304" s="113"/>
      <c r="D304" s="113"/>
      <c r="E304" s="110"/>
      <c r="F304" s="111"/>
      <c r="G304" s="110"/>
      <c r="H304" s="109"/>
      <c r="I304" s="112"/>
      <c r="L304" s="25">
        <f>SUM(L300:L303)</f>
        <v>999.99473531571323</v>
      </c>
      <c r="M304" s="157">
        <f>SUM(M299:M303)</f>
        <v>55.633264684286793</v>
      </c>
      <c r="N304" s="157">
        <f>SUM(N299:N303)</f>
        <v>1055.6279999999999</v>
      </c>
      <c r="Q304" s="106"/>
      <c r="R304" s="106"/>
      <c r="S304" s="106"/>
      <c r="T304" s="106"/>
    </row>
    <row r="307" spans="1:20" s="134" customFormat="1">
      <c r="A307" s="133"/>
      <c r="H307" s="135"/>
      <c r="S307" s="135"/>
    </row>
    <row r="308" spans="1:20" s="134" customFormat="1" ht="15.75" thickBot="1">
      <c r="A308" s="133" t="s">
        <v>195</v>
      </c>
      <c r="B308" s="134" t="s">
        <v>196</v>
      </c>
      <c r="H308" s="135"/>
      <c r="S308" s="135"/>
      <c r="T308" s="142"/>
    </row>
    <row r="309" spans="1:20" s="134" customFormat="1" ht="15.75" thickBot="1">
      <c r="A309" s="133"/>
      <c r="H309" s="135"/>
      <c r="J309" s="136" t="s">
        <v>56</v>
      </c>
      <c r="K309" s="137" t="s">
        <v>57</v>
      </c>
      <c r="L309" s="137" t="s">
        <v>58</v>
      </c>
      <c r="M309" s="138" t="s">
        <v>59</v>
      </c>
      <c r="N309" s="139" t="s">
        <v>5</v>
      </c>
      <c r="O309" s="140" t="s">
        <v>60</v>
      </c>
      <c r="P309" s="141" t="s">
        <v>61</v>
      </c>
      <c r="S309" s="134" t="s">
        <v>62</v>
      </c>
      <c r="T309" s="134">
        <v>1000</v>
      </c>
    </row>
    <row r="310" spans="1:20" s="134" customFormat="1" ht="15.75" thickBot="1">
      <c r="A310" s="155"/>
      <c r="B310" s="134" t="s">
        <v>75</v>
      </c>
      <c r="H310" s="135"/>
      <c r="J310" s="143">
        <v>1</v>
      </c>
      <c r="K310" s="144">
        <v>40446</v>
      </c>
      <c r="L310" s="145"/>
      <c r="M310" s="146"/>
      <c r="N310" s="145"/>
      <c r="O310" s="162">
        <f>K310-T310</f>
        <v>31</v>
      </c>
      <c r="P310" s="148">
        <f>T309-L310</f>
        <v>1000</v>
      </c>
      <c r="S310" s="134" t="s">
        <v>63</v>
      </c>
      <c r="T310" s="149">
        <v>40415</v>
      </c>
    </row>
    <row r="311" spans="1:20" s="134" customFormat="1" ht="15.75" thickBot="1">
      <c r="A311" s="156"/>
      <c r="B311" s="134" t="s">
        <v>197</v>
      </c>
      <c r="H311" s="135"/>
      <c r="J311" s="143">
        <v>2</v>
      </c>
      <c r="K311" s="144">
        <v>40479</v>
      </c>
      <c r="L311" s="150">
        <f>N311-M311</f>
        <v>220.52799999999999</v>
      </c>
      <c r="M311" s="146">
        <f>P310*O311*T311</f>
        <v>42.111999999999995</v>
      </c>
      <c r="N311" s="145">
        <v>262.64</v>
      </c>
      <c r="O311" s="147">
        <f>K311-T310</f>
        <v>64</v>
      </c>
      <c r="P311" s="148">
        <f>P310-L311</f>
        <v>779.47199999999998</v>
      </c>
      <c r="S311" s="134" t="s">
        <v>72</v>
      </c>
      <c r="T311" s="151">
        <v>6.5799999999999995E-4</v>
      </c>
    </row>
    <row r="312" spans="1:20" s="134" customFormat="1" ht="15.75" thickBot="1">
      <c r="A312" s="153"/>
      <c r="B312" s="134" t="s">
        <v>199</v>
      </c>
      <c r="H312" s="135"/>
      <c r="J312" s="143">
        <v>3</v>
      </c>
      <c r="K312" s="144">
        <v>40507</v>
      </c>
      <c r="L312" s="150">
        <f>P311-P312</f>
        <v>521.60199999999998</v>
      </c>
      <c r="M312" s="146">
        <f>P311*O312*T311</f>
        <v>14.360992127999999</v>
      </c>
      <c r="N312" s="145">
        <f>L312+M312</f>
        <v>535.962992128</v>
      </c>
      <c r="O312" s="163">
        <f>K312-K311</f>
        <v>28</v>
      </c>
      <c r="P312" s="148">
        <v>257.87</v>
      </c>
      <c r="S312" s="134" t="s">
        <v>73</v>
      </c>
      <c r="T312" s="134">
        <f>T311*365/12</f>
        <v>2.0014166666666666E-2</v>
      </c>
    </row>
    <row r="313" spans="1:20" s="134" customFormat="1" ht="15.75" thickBot="1">
      <c r="A313" s="153"/>
      <c r="B313" s="134" t="s">
        <v>200</v>
      </c>
      <c r="H313" s="135"/>
      <c r="J313" s="143">
        <v>4</v>
      </c>
      <c r="K313" s="144">
        <v>40537</v>
      </c>
      <c r="L313" s="150">
        <f>N313-M313</f>
        <v>257.86964619999998</v>
      </c>
      <c r="M313" s="146">
        <f>P312*O313*T311</f>
        <v>5.0903537999999999</v>
      </c>
      <c r="N313" s="145">
        <v>262.95999999999998</v>
      </c>
      <c r="O313" s="147">
        <f t="shared" ref="O313" si="31">K313-K312</f>
        <v>30</v>
      </c>
      <c r="P313" s="148">
        <f>P312-L313</f>
        <v>3.5380000002760426E-4</v>
      </c>
    </row>
    <row r="314" spans="1:20" s="134" customFormat="1">
      <c r="A314" s="153"/>
      <c r="C314" s="153"/>
      <c r="D314" s="153"/>
      <c r="E314" s="158"/>
      <c r="F314" s="159"/>
      <c r="G314" s="158"/>
      <c r="H314" s="154"/>
      <c r="I314" s="160"/>
      <c r="L314" s="157">
        <f>SUM(L310:L313)</f>
        <v>999.99964619999992</v>
      </c>
      <c r="M314" s="157">
        <f>SUM(M310:M313)</f>
        <v>61.563345927999997</v>
      </c>
      <c r="N314" s="157">
        <f>SUM(N309:N313)</f>
        <v>1061.5629921279999</v>
      </c>
    </row>
    <row r="315" spans="1:20" s="134" customFormat="1">
      <c r="A315" s="133"/>
      <c r="H315" s="135"/>
      <c r="S315" s="135"/>
    </row>
    <row r="317" spans="1:20">
      <c r="A317" s="105" t="s">
        <v>198</v>
      </c>
      <c r="B317" t="s">
        <v>201</v>
      </c>
    </row>
    <row r="318" spans="1:20">
      <c r="A318" s="105"/>
    </row>
    <row r="319" spans="1:20">
      <c r="A319" s="108"/>
      <c r="B319" t="s">
        <v>75</v>
      </c>
    </row>
    <row r="320" spans="1:20">
      <c r="A320" s="118"/>
      <c r="B320" t="s">
        <v>202</v>
      </c>
    </row>
    <row r="321" spans="1:20">
      <c r="A321" s="113"/>
      <c r="B321" t="s">
        <v>203</v>
      </c>
    </row>
    <row r="322" spans="1:20">
      <c r="A322" s="113"/>
    </row>
    <row r="323" spans="1:20" s="134" customFormat="1">
      <c r="A323" s="153"/>
      <c r="C323" s="153"/>
      <c r="D323" s="153"/>
      <c r="E323" s="158"/>
      <c r="F323" s="159"/>
      <c r="G323" s="158"/>
      <c r="H323" s="154"/>
      <c r="S323" s="135"/>
    </row>
    <row r="324" spans="1:20" s="134" customFormat="1" ht="15.75" thickBot="1">
      <c r="A324" s="133" t="s">
        <v>205</v>
      </c>
      <c r="B324" s="134" t="s">
        <v>206</v>
      </c>
      <c r="H324" s="135"/>
      <c r="S324" s="135"/>
    </row>
    <row r="325" spans="1:20" s="134" customFormat="1" ht="15.75" thickBot="1">
      <c r="A325" s="133"/>
      <c r="H325" s="135"/>
      <c r="J325" s="136" t="s">
        <v>56</v>
      </c>
      <c r="K325" s="137" t="s">
        <v>57</v>
      </c>
      <c r="L325" s="137" t="s">
        <v>58</v>
      </c>
      <c r="M325" s="138" t="s">
        <v>59</v>
      </c>
      <c r="N325" s="139" t="s">
        <v>5</v>
      </c>
      <c r="O325" s="140" t="s">
        <v>60</v>
      </c>
      <c r="P325" s="141" t="s">
        <v>61</v>
      </c>
      <c r="S325" s="134" t="s">
        <v>62</v>
      </c>
      <c r="T325" s="142">
        <v>1000</v>
      </c>
    </row>
    <row r="326" spans="1:20" s="134" customFormat="1" ht="15.75" thickBot="1">
      <c r="A326" s="155"/>
      <c r="B326" s="134" t="s">
        <v>75</v>
      </c>
      <c r="H326" s="135"/>
      <c r="J326" s="143">
        <v>1</v>
      </c>
      <c r="K326" s="144">
        <v>40476</v>
      </c>
      <c r="L326" s="145">
        <f>N326-M326</f>
        <v>242.89999999999998</v>
      </c>
      <c r="M326" s="146">
        <f>T325*T327*O326</f>
        <v>19.739999999999998</v>
      </c>
      <c r="N326" s="145">
        <v>262.64</v>
      </c>
      <c r="O326" s="147">
        <f>K326-T326</f>
        <v>30</v>
      </c>
      <c r="P326" s="148">
        <f>T325-L326</f>
        <v>757.1</v>
      </c>
      <c r="S326" s="134" t="s">
        <v>63</v>
      </c>
      <c r="T326" s="149">
        <v>40446</v>
      </c>
    </row>
    <row r="327" spans="1:20" s="134" customFormat="1" ht="15.75" thickBot="1">
      <c r="A327" s="156"/>
      <c r="B327" s="134" t="s">
        <v>207</v>
      </c>
      <c r="H327" s="135"/>
      <c r="J327" s="143">
        <v>2</v>
      </c>
      <c r="K327" s="144">
        <v>40507</v>
      </c>
      <c r="L327" s="145">
        <f>N327-M327</f>
        <v>247.1866742</v>
      </c>
      <c r="M327" s="146">
        <f>P326*O327*T327</f>
        <v>15.4433258</v>
      </c>
      <c r="N327" s="145">
        <v>262.63</v>
      </c>
      <c r="O327" s="147">
        <f>K327-K326</f>
        <v>31</v>
      </c>
      <c r="P327" s="148">
        <f>P326-L327</f>
        <v>509.91332580000005</v>
      </c>
      <c r="S327" s="134" t="s">
        <v>72</v>
      </c>
      <c r="T327" s="151">
        <v>6.5799999999999995E-4</v>
      </c>
    </row>
    <row r="328" spans="1:20" s="134" customFormat="1" ht="15.75" thickBot="1">
      <c r="A328" s="153"/>
      <c r="B328" s="134" t="s">
        <v>208</v>
      </c>
      <c r="H328" s="135"/>
      <c r="J328" s="143">
        <v>3</v>
      </c>
      <c r="K328" s="144">
        <v>40537</v>
      </c>
      <c r="L328" s="145">
        <f>N328-M328</f>
        <v>252.55431094870801</v>
      </c>
      <c r="M328" s="146">
        <f>P327*O328*T327</f>
        <v>10.065689051292001</v>
      </c>
      <c r="N328" s="145">
        <v>262.62</v>
      </c>
      <c r="O328" s="147">
        <f>K328-K327</f>
        <v>30</v>
      </c>
      <c r="P328" s="148">
        <f>P327-L328</f>
        <v>257.35901485129205</v>
      </c>
      <c r="S328" s="134" t="s">
        <v>73</v>
      </c>
      <c r="T328" s="134">
        <f>T327*365/12</f>
        <v>2.0014166666666666E-2</v>
      </c>
    </row>
    <row r="329" spans="1:20" s="134" customFormat="1" ht="15.75" thickBot="1">
      <c r="A329" s="153"/>
      <c r="B329" s="134" t="s">
        <v>210</v>
      </c>
      <c r="H329" s="135"/>
      <c r="J329" s="143">
        <v>4</v>
      </c>
      <c r="K329" s="144">
        <v>40568</v>
      </c>
      <c r="L329" s="145">
        <f>P328</f>
        <v>257.35901485129205</v>
      </c>
      <c r="M329" s="146">
        <f>P328*O329*T327</f>
        <v>5.2496091849366548</v>
      </c>
      <c r="N329" s="145">
        <f>M329+L329</f>
        <v>262.60862403622872</v>
      </c>
      <c r="O329" s="147">
        <f>K329-K328</f>
        <v>31</v>
      </c>
      <c r="P329" s="148">
        <f>P328-L329</f>
        <v>0</v>
      </c>
    </row>
    <row r="330" spans="1:20" s="134" customFormat="1">
      <c r="A330" s="153"/>
      <c r="B330" s="134" t="s">
        <v>209</v>
      </c>
      <c r="C330" s="153"/>
      <c r="D330" s="153"/>
      <c r="E330" s="158"/>
      <c r="F330" s="159"/>
      <c r="G330" s="158"/>
      <c r="H330" s="154"/>
      <c r="I330" s="160"/>
      <c r="J330" s="158"/>
      <c r="K330" s="154"/>
      <c r="L330" s="157">
        <f>SUM(L326:L329)</f>
        <v>1000</v>
      </c>
      <c r="M330" s="161">
        <f>SUM(M326:M329)</f>
        <v>50.498624036228655</v>
      </c>
      <c r="N330" s="161">
        <f>SUM(N326:N329)</f>
        <v>1050.4986240362286</v>
      </c>
      <c r="O330" s="161"/>
    </row>
    <row r="331" spans="1:20" s="134" customFormat="1">
      <c r="A331" s="133"/>
      <c r="B331" s="134" t="s">
        <v>142</v>
      </c>
      <c r="H331" s="135"/>
      <c r="S331" s="135"/>
    </row>
    <row r="332" spans="1:20" s="134" customFormat="1">
      <c r="A332" s="133"/>
      <c r="H332" s="135"/>
      <c r="S332" s="135"/>
    </row>
    <row r="334" spans="1:20">
      <c r="A334" s="105" t="s">
        <v>215</v>
      </c>
      <c r="B334" t="s">
        <v>211</v>
      </c>
    </row>
    <row r="335" spans="1:20">
      <c r="A335" s="105"/>
    </row>
    <row r="336" spans="1:20">
      <c r="A336" s="108"/>
      <c r="B336" t="s">
        <v>75</v>
      </c>
    </row>
    <row r="337" spans="1:20">
      <c r="A337" s="118"/>
      <c r="B337" t="s">
        <v>212</v>
      </c>
    </row>
    <row r="338" spans="1:20">
      <c r="A338" s="113"/>
      <c r="B338" t="s">
        <v>213</v>
      </c>
    </row>
    <row r="339" spans="1:20">
      <c r="B339" t="s">
        <v>214</v>
      </c>
    </row>
    <row r="341" spans="1:20" s="134" customFormat="1">
      <c r="A341" s="133"/>
      <c r="H341" s="135"/>
      <c r="S341" s="135"/>
    </row>
    <row r="342" spans="1:20" s="134" customFormat="1" ht="15.75" thickBot="1">
      <c r="A342" s="133" t="s">
        <v>216</v>
      </c>
      <c r="B342" s="134" t="s">
        <v>217</v>
      </c>
      <c r="H342" s="135"/>
      <c r="S342" s="135"/>
    </row>
    <row r="343" spans="1:20" s="134" customFormat="1" ht="15.75" thickBot="1">
      <c r="A343" s="133"/>
      <c r="H343" s="135"/>
      <c r="J343" s="136" t="s">
        <v>56</v>
      </c>
      <c r="K343" s="137" t="s">
        <v>57</v>
      </c>
      <c r="L343" s="137" t="s">
        <v>58</v>
      </c>
      <c r="M343" s="138" t="s">
        <v>59</v>
      </c>
      <c r="N343" s="139" t="s">
        <v>5</v>
      </c>
      <c r="O343" s="140" t="s">
        <v>60</v>
      </c>
      <c r="P343" s="141" t="s">
        <v>61</v>
      </c>
      <c r="S343" s="134" t="s">
        <v>62</v>
      </c>
      <c r="T343" s="142">
        <v>1000</v>
      </c>
    </row>
    <row r="344" spans="1:20" s="134" customFormat="1" ht="15.75" thickBot="1">
      <c r="A344" s="155"/>
      <c r="B344" s="134" t="s">
        <v>75</v>
      </c>
      <c r="H344" s="135"/>
      <c r="J344" s="143">
        <v>1</v>
      </c>
      <c r="K344" s="144">
        <v>40446</v>
      </c>
      <c r="L344" s="145">
        <f>N344-M344</f>
        <v>242.24199999999999</v>
      </c>
      <c r="M344" s="146">
        <f>T343*T345*O344</f>
        <v>20.397999999999996</v>
      </c>
      <c r="N344" s="145">
        <v>262.64</v>
      </c>
      <c r="O344" s="147">
        <f>K344-T344</f>
        <v>31</v>
      </c>
      <c r="P344" s="148">
        <f>T343-L344</f>
        <v>757.75800000000004</v>
      </c>
      <c r="S344" s="134" t="s">
        <v>63</v>
      </c>
      <c r="T344" s="149">
        <v>40415</v>
      </c>
    </row>
    <row r="345" spans="1:20" s="134" customFormat="1" ht="15.75" thickBot="1">
      <c r="A345" s="156"/>
      <c r="B345" s="134" t="s">
        <v>92</v>
      </c>
      <c r="H345" s="135"/>
      <c r="J345" s="143">
        <v>2</v>
      </c>
      <c r="K345" s="144">
        <v>40476</v>
      </c>
      <c r="L345" s="145">
        <f>N345-M345</f>
        <v>247.67185708</v>
      </c>
      <c r="M345" s="146">
        <f>P344*O345*T345</f>
        <v>14.95814292</v>
      </c>
      <c r="N345" s="145">
        <v>262.63</v>
      </c>
      <c r="O345" s="147">
        <f>K345-K344</f>
        <v>30</v>
      </c>
      <c r="P345" s="148">
        <f>P344-L345</f>
        <v>510.08614292000004</v>
      </c>
      <c r="S345" s="134" t="s">
        <v>72</v>
      </c>
      <c r="T345" s="151">
        <v>6.5799999999999995E-4</v>
      </c>
    </row>
    <row r="346" spans="1:20" s="134" customFormat="1" ht="15.75" thickBot="1">
      <c r="A346" s="153"/>
      <c r="B346" s="134" t="s">
        <v>218</v>
      </c>
      <c r="H346" s="135"/>
      <c r="J346" s="143">
        <v>3</v>
      </c>
      <c r="K346" s="144">
        <v>40507</v>
      </c>
      <c r="L346" s="145">
        <f>N346-M346</f>
        <v>252.21526285671786</v>
      </c>
      <c r="M346" s="146">
        <f>P345*O346*T345</f>
        <v>10.40473714328216</v>
      </c>
      <c r="N346" s="145">
        <v>262.62</v>
      </c>
      <c r="O346" s="147">
        <f>K346-K345</f>
        <v>31</v>
      </c>
      <c r="P346" s="148">
        <f>P345-L346</f>
        <v>257.87088006328219</v>
      </c>
      <c r="S346" s="134" t="s">
        <v>73</v>
      </c>
      <c r="T346" s="134">
        <f>T345*365/12</f>
        <v>2.0014166666666666E-2</v>
      </c>
    </row>
    <row r="347" spans="1:20" s="134" customFormat="1" ht="15.75" thickBot="1">
      <c r="A347" s="153"/>
      <c r="B347" s="134" t="s">
        <v>148</v>
      </c>
      <c r="H347" s="135"/>
      <c r="J347" s="143">
        <v>4</v>
      </c>
      <c r="K347" s="144">
        <v>40537</v>
      </c>
      <c r="L347" s="145">
        <f>N347-M347</f>
        <v>94.909628827550804</v>
      </c>
      <c r="M347" s="146">
        <f>P346*O347*T345</f>
        <v>5.0903711724491902</v>
      </c>
      <c r="N347" s="145">
        <v>100</v>
      </c>
      <c r="O347" s="147">
        <f>K347-K346</f>
        <v>30</v>
      </c>
      <c r="P347" s="148">
        <f>P346-L347</f>
        <v>162.96125123573137</v>
      </c>
    </row>
    <row r="348" spans="1:20" s="134" customFormat="1">
      <c r="A348" s="153"/>
      <c r="B348" s="134" t="s">
        <v>219</v>
      </c>
      <c r="C348" s="153"/>
      <c r="D348" s="153"/>
      <c r="E348" s="158"/>
      <c r="F348" s="159"/>
      <c r="G348" s="158"/>
      <c r="H348" s="154"/>
      <c r="I348" s="160"/>
      <c r="J348" s="158"/>
      <c r="K348" s="154"/>
      <c r="L348" s="157">
        <f>SUM(L344:L347)</f>
        <v>837.03874876426869</v>
      </c>
      <c r="M348" s="161">
        <f>SUM(M344:M347)</f>
        <v>50.851251235731347</v>
      </c>
      <c r="N348" s="161">
        <f>SUM(N344:N347)</f>
        <v>887.89</v>
      </c>
      <c r="O348" s="161"/>
    </row>
    <row r="349" spans="1:20" s="134" customFormat="1">
      <c r="A349" s="133"/>
      <c r="B349" s="134" t="s">
        <v>220</v>
      </c>
      <c r="H349" s="135"/>
      <c r="S349" s="135"/>
    </row>
    <row r="350" spans="1:20" s="134" customFormat="1">
      <c r="A350" s="133"/>
      <c r="H350" s="135"/>
      <c r="S350" s="135"/>
    </row>
    <row r="352" spans="1:20" ht="15.75" thickBot="1">
      <c r="A352" s="105" t="s">
        <v>336</v>
      </c>
      <c r="B352" t="s">
        <v>222</v>
      </c>
      <c r="Q352" s="106"/>
      <c r="R352" s="106"/>
      <c r="S352" s="107"/>
      <c r="T352" s="106"/>
    </row>
    <row r="353" spans="1:20" ht="15.75" thickBot="1">
      <c r="A353" s="105"/>
      <c r="J353" s="86" t="s">
        <v>56</v>
      </c>
      <c r="K353" s="87" t="s">
        <v>57</v>
      </c>
      <c r="L353" s="87" t="s">
        <v>58</v>
      </c>
      <c r="M353" s="120" t="s">
        <v>59</v>
      </c>
      <c r="N353" s="120" t="s">
        <v>223</v>
      </c>
      <c r="O353" s="89" t="s">
        <v>5</v>
      </c>
      <c r="P353" s="90" t="s">
        <v>60</v>
      </c>
      <c r="Q353" s="91" t="s">
        <v>61</v>
      </c>
      <c r="R353" s="106"/>
      <c r="S353" t="s">
        <v>62</v>
      </c>
      <c r="T353" s="97">
        <v>1000</v>
      </c>
    </row>
    <row r="354" spans="1:20" ht="15.75" thickBot="1">
      <c r="A354" s="108"/>
      <c r="B354" t="s">
        <v>75</v>
      </c>
      <c r="J354" s="92">
        <v>1</v>
      </c>
      <c r="K354" s="93">
        <v>40446</v>
      </c>
      <c r="L354" s="96">
        <f>O354-M354</f>
        <v>242.24199999999999</v>
      </c>
      <c r="M354" s="121">
        <f>T353*T355*P354</f>
        <v>20.397999999999996</v>
      </c>
      <c r="N354" s="121">
        <v>0</v>
      </c>
      <c r="O354" s="122">
        <v>262.64</v>
      </c>
      <c r="P354" s="27">
        <f>K354-T354</f>
        <v>31</v>
      </c>
      <c r="Q354" s="28">
        <f>T353-L354</f>
        <v>757.75800000000004</v>
      </c>
      <c r="R354" s="106"/>
      <c r="S354" t="s">
        <v>63</v>
      </c>
      <c r="T354" s="98">
        <v>40415</v>
      </c>
    </row>
    <row r="355" spans="1:20" ht="15.75" thickBot="1">
      <c r="A355" s="118"/>
      <c r="B355" t="s">
        <v>92</v>
      </c>
      <c r="J355" s="92">
        <v>2</v>
      </c>
      <c r="K355" s="93">
        <v>40476</v>
      </c>
      <c r="L355" s="96">
        <v>0</v>
      </c>
      <c r="M355" s="121">
        <f>Q354*P355*T355</f>
        <v>14.95814292</v>
      </c>
      <c r="N355" s="121">
        <v>250</v>
      </c>
      <c r="O355" s="122">
        <v>262.63</v>
      </c>
      <c r="P355" s="27">
        <f>K355-K354</f>
        <v>30</v>
      </c>
      <c r="Q355" s="28">
        <f>Q354-L355</f>
        <v>757.75800000000004</v>
      </c>
      <c r="R355" s="106"/>
      <c r="S355" t="s">
        <v>72</v>
      </c>
      <c r="T355" s="99">
        <v>6.5799999999999995E-4</v>
      </c>
    </row>
    <row r="356" spans="1:20" ht="15.75" thickBot="1">
      <c r="A356" s="113"/>
      <c r="B356" t="s">
        <v>225</v>
      </c>
      <c r="J356" s="92">
        <v>3</v>
      </c>
      <c r="K356" s="93">
        <v>40507</v>
      </c>
      <c r="L356" s="96">
        <f>Q355-Q356</f>
        <v>499.88800000000003</v>
      </c>
      <c r="M356" s="121">
        <f>(Q355*P356*T355)+M355-(O355-N355)</f>
        <v>17.784890604000005</v>
      </c>
      <c r="N356" s="121">
        <f t="shared" ref="N356:N357" si="32">U355*U357*Q356</f>
        <v>0</v>
      </c>
      <c r="O356" s="122">
        <v>262.62</v>
      </c>
      <c r="P356" s="27">
        <f>K356-K355</f>
        <v>31</v>
      </c>
      <c r="Q356" s="28">
        <v>257.87</v>
      </c>
      <c r="R356" s="106"/>
      <c r="S356" t="s">
        <v>73</v>
      </c>
      <c r="T356">
        <f>T355*365/12</f>
        <v>2.0014166666666666E-2</v>
      </c>
    </row>
    <row r="357" spans="1:20" ht="15.75" thickBot="1">
      <c r="A357" s="113"/>
      <c r="B357" t="s">
        <v>226</v>
      </c>
      <c r="J357" s="92">
        <v>4</v>
      </c>
      <c r="K357" s="93">
        <v>40537</v>
      </c>
      <c r="L357" s="96">
        <f>Q356</f>
        <v>257.87</v>
      </c>
      <c r="M357" s="121">
        <f>Q356*P357*T355</f>
        <v>5.0903537999999999</v>
      </c>
      <c r="N357" s="121">
        <f t="shared" si="32"/>
        <v>0</v>
      </c>
      <c r="O357" s="122">
        <v>100</v>
      </c>
      <c r="P357" s="27">
        <f>K357-K356</f>
        <v>30</v>
      </c>
      <c r="Q357" s="28">
        <f>Q356-L357</f>
        <v>0</v>
      </c>
      <c r="R357" s="106"/>
      <c r="S357" s="106"/>
      <c r="T357" s="106"/>
    </row>
    <row r="358" spans="1:20">
      <c r="A358" s="113"/>
      <c r="B358" t="s">
        <v>224</v>
      </c>
      <c r="C358" s="113"/>
      <c r="D358" s="113"/>
      <c r="E358" s="110"/>
      <c r="F358" s="111"/>
      <c r="G358" s="110"/>
      <c r="H358" s="109"/>
      <c r="I358" s="112"/>
      <c r="J358" s="110"/>
      <c r="K358" s="109"/>
      <c r="L358" s="25">
        <f>SUM(L354:L357)</f>
        <v>1000</v>
      </c>
      <c r="M358" s="161">
        <f>SUM(M354:M357)</f>
        <v>58.231387324000004</v>
      </c>
      <c r="N358" s="161">
        <f>SUM(N354:N357)</f>
        <v>250</v>
      </c>
      <c r="O358" s="161">
        <f>SUM(O354:O357)</f>
        <v>887.89</v>
      </c>
      <c r="P358" s="106"/>
      <c r="Q358" s="106"/>
      <c r="R358" s="106"/>
      <c r="S358" s="106"/>
      <c r="T358" s="106"/>
    </row>
    <row r="359" spans="1:20">
      <c r="B359" t="s">
        <v>220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dimension ref="B1:E307"/>
  <sheetViews>
    <sheetView tabSelected="1" workbookViewId="0">
      <selection activeCell="C46" sqref="C46"/>
    </sheetView>
  </sheetViews>
  <sheetFormatPr defaultRowHeight="12.75"/>
  <cols>
    <col min="1" max="2" width="9.140625" style="123"/>
    <col min="3" max="3" width="42.7109375" style="123" customWidth="1"/>
    <col min="4" max="4" width="9.140625" style="123"/>
    <col min="5" max="5" width="45.7109375" style="123" customWidth="1"/>
    <col min="6" max="16384" width="9.140625" style="123"/>
  </cols>
  <sheetData>
    <row r="1" spans="2:5" ht="18.75">
      <c r="B1" s="132" t="s">
        <v>234</v>
      </c>
      <c r="C1" s="132"/>
    </row>
    <row r="3" spans="2:5">
      <c r="D3" s="124" t="s">
        <v>231</v>
      </c>
      <c r="E3" s="124"/>
    </row>
    <row r="4" spans="2:5">
      <c r="D4" s="124" t="s">
        <v>232</v>
      </c>
      <c r="E4" s="124"/>
    </row>
    <row r="5" spans="2:5">
      <c r="D5" s="124" t="s">
        <v>233</v>
      </c>
      <c r="E5" s="124"/>
    </row>
    <row r="7" spans="2:5">
      <c r="D7" s="123" t="s">
        <v>228</v>
      </c>
    </row>
    <row r="8" spans="2:5">
      <c r="B8" s="208" t="s">
        <v>227</v>
      </c>
      <c r="C8" s="208" t="s">
        <v>280</v>
      </c>
      <c r="D8" s="208" t="s">
        <v>229</v>
      </c>
      <c r="E8" s="208" t="s">
        <v>230</v>
      </c>
    </row>
    <row r="9" spans="2:5">
      <c r="B9" s="125" t="s">
        <v>69</v>
      </c>
      <c r="C9" s="205" t="s">
        <v>299</v>
      </c>
      <c r="D9" s="124"/>
      <c r="E9" s="124"/>
    </row>
    <row r="10" spans="2:5">
      <c r="B10" s="126" t="s">
        <v>68</v>
      </c>
      <c r="C10" s="206" t="s">
        <v>300</v>
      </c>
      <c r="D10" s="124"/>
      <c r="E10" s="124"/>
    </row>
    <row r="11" spans="2:5">
      <c r="B11" s="126" t="s">
        <v>70</v>
      </c>
      <c r="C11" s="206" t="s">
        <v>301</v>
      </c>
      <c r="D11" s="124"/>
      <c r="E11" s="124"/>
    </row>
    <row r="12" spans="2:5">
      <c r="B12" s="126" t="s">
        <v>84</v>
      </c>
      <c r="C12" s="206" t="s">
        <v>85</v>
      </c>
      <c r="D12" s="124"/>
      <c r="E12" s="124"/>
    </row>
    <row r="13" spans="2:5">
      <c r="B13" s="126" t="s">
        <v>71</v>
      </c>
      <c r="C13" s="206" t="s">
        <v>88</v>
      </c>
      <c r="D13" s="124"/>
      <c r="E13" s="124"/>
    </row>
    <row r="14" spans="2:5">
      <c r="B14" s="126" t="s">
        <v>90</v>
      </c>
      <c r="C14" s="206" t="s">
        <v>91</v>
      </c>
      <c r="D14" s="124"/>
      <c r="E14" s="124"/>
    </row>
    <row r="15" spans="2:5">
      <c r="B15" s="126" t="s">
        <v>94</v>
      </c>
      <c r="C15" s="206" t="s">
        <v>333</v>
      </c>
      <c r="D15" s="124"/>
      <c r="E15" s="124"/>
    </row>
    <row r="16" spans="2:5">
      <c r="B16" s="126" t="s">
        <v>99</v>
      </c>
      <c r="C16" s="206" t="s">
        <v>334</v>
      </c>
      <c r="D16" s="124"/>
      <c r="E16" s="124"/>
    </row>
    <row r="17" spans="2:5">
      <c r="B17" s="126" t="s">
        <v>102</v>
      </c>
      <c r="C17" s="206" t="s">
        <v>335</v>
      </c>
      <c r="D17" s="124"/>
      <c r="E17" s="124"/>
    </row>
    <row r="18" spans="2:5" ht="25.5">
      <c r="B18" s="126" t="s">
        <v>105</v>
      </c>
      <c r="C18" s="207" t="s">
        <v>328</v>
      </c>
      <c r="D18" s="124"/>
      <c r="E18" s="124"/>
    </row>
    <row r="19" spans="2:5">
      <c r="B19" s="126" t="s">
        <v>109</v>
      </c>
      <c r="C19" s="206" t="s">
        <v>302</v>
      </c>
      <c r="D19" s="124"/>
      <c r="E19" s="124"/>
    </row>
    <row r="20" spans="2:5">
      <c r="B20" s="126" t="s">
        <v>115</v>
      </c>
      <c r="C20" s="206" t="s">
        <v>303</v>
      </c>
      <c r="D20" s="124"/>
      <c r="E20" s="124"/>
    </row>
    <row r="21" spans="2:5">
      <c r="B21" s="126" t="s">
        <v>121</v>
      </c>
      <c r="C21" s="206" t="s">
        <v>304</v>
      </c>
      <c r="D21" s="124"/>
      <c r="E21" s="124"/>
    </row>
    <row r="22" spans="2:5">
      <c r="B22" s="126" t="s">
        <v>125</v>
      </c>
      <c r="C22" s="206" t="s">
        <v>305</v>
      </c>
      <c r="D22" s="124"/>
      <c r="E22" s="124"/>
    </row>
    <row r="23" spans="2:5" ht="25.5">
      <c r="B23" s="126" t="s">
        <v>136</v>
      </c>
      <c r="C23" s="206" t="s">
        <v>306</v>
      </c>
      <c r="D23" s="124"/>
      <c r="E23" s="124"/>
    </row>
    <row r="24" spans="2:5">
      <c r="B24" s="126" t="s">
        <v>137</v>
      </c>
      <c r="C24" s="206" t="s">
        <v>307</v>
      </c>
      <c r="D24" s="124"/>
      <c r="E24" s="124"/>
    </row>
    <row r="25" spans="2:5">
      <c r="B25" s="126" t="s">
        <v>140</v>
      </c>
      <c r="C25" s="206" t="s">
        <v>308</v>
      </c>
      <c r="D25" s="124"/>
      <c r="E25" s="124"/>
    </row>
    <row r="26" spans="2:5">
      <c r="B26" s="126" t="s">
        <v>143</v>
      </c>
      <c r="C26" s="206" t="s">
        <v>309</v>
      </c>
      <c r="D26" s="124"/>
      <c r="E26" s="124"/>
    </row>
    <row r="27" spans="2:5">
      <c r="B27" s="126" t="s">
        <v>145</v>
      </c>
      <c r="C27" s="206" t="s">
        <v>310</v>
      </c>
      <c r="D27" s="124"/>
      <c r="E27" s="124"/>
    </row>
    <row r="28" spans="2:5" ht="25.5">
      <c r="B28" s="126" t="s">
        <v>151</v>
      </c>
      <c r="C28" s="206" t="s">
        <v>311</v>
      </c>
      <c r="D28" s="124"/>
      <c r="E28" s="124"/>
    </row>
    <row r="29" spans="2:5" ht="25.5">
      <c r="B29" s="126" t="s">
        <v>159</v>
      </c>
      <c r="C29" s="206" t="s">
        <v>312</v>
      </c>
      <c r="D29" s="124"/>
      <c r="E29" s="124"/>
    </row>
    <row r="30" spans="2:5" ht="25.5">
      <c r="B30" s="126" t="s">
        <v>163</v>
      </c>
      <c r="C30" s="206" t="s">
        <v>313</v>
      </c>
      <c r="D30" s="124"/>
      <c r="E30" s="124"/>
    </row>
    <row r="31" spans="2:5">
      <c r="B31" s="126" t="s">
        <v>165</v>
      </c>
      <c r="C31" s="206" t="s">
        <v>314</v>
      </c>
      <c r="D31" s="124"/>
      <c r="E31" s="124"/>
    </row>
    <row r="32" spans="2:5">
      <c r="B32" s="126" t="s">
        <v>175</v>
      </c>
      <c r="C32" s="206" t="s">
        <v>315</v>
      </c>
      <c r="D32" s="124"/>
      <c r="E32" s="124"/>
    </row>
    <row r="33" spans="2:5" ht="25.5">
      <c r="B33" s="126" t="s">
        <v>178</v>
      </c>
      <c r="C33" s="206" t="s">
        <v>316</v>
      </c>
      <c r="D33" s="124"/>
      <c r="E33" s="124"/>
    </row>
    <row r="34" spans="2:5">
      <c r="B34" s="126" t="s">
        <v>182</v>
      </c>
      <c r="C34" s="206" t="s">
        <v>317</v>
      </c>
      <c r="D34" s="124"/>
      <c r="E34" s="124"/>
    </row>
    <row r="35" spans="2:5">
      <c r="B35" s="126" t="s">
        <v>185</v>
      </c>
      <c r="C35" s="206" t="s">
        <v>318</v>
      </c>
      <c r="D35" s="124"/>
      <c r="E35" s="124"/>
    </row>
    <row r="36" spans="2:5">
      <c r="B36" s="126" t="s">
        <v>186</v>
      </c>
      <c r="C36" s="206" t="s">
        <v>319</v>
      </c>
      <c r="D36" s="124"/>
      <c r="E36" s="124"/>
    </row>
    <row r="37" spans="2:5">
      <c r="B37" s="126" t="s">
        <v>191</v>
      </c>
      <c r="C37" s="206" t="s">
        <v>320</v>
      </c>
      <c r="D37" s="124"/>
      <c r="E37" s="124"/>
    </row>
    <row r="38" spans="2:5">
      <c r="B38" s="126" t="s">
        <v>193</v>
      </c>
      <c r="C38" s="206" t="s">
        <v>321</v>
      </c>
      <c r="D38" s="124"/>
      <c r="E38" s="124"/>
    </row>
    <row r="39" spans="2:5">
      <c r="B39" s="126" t="s">
        <v>195</v>
      </c>
      <c r="C39" s="206" t="s">
        <v>322</v>
      </c>
      <c r="D39" s="124"/>
      <c r="E39" s="124"/>
    </row>
    <row r="40" spans="2:5">
      <c r="B40" s="126" t="s">
        <v>198</v>
      </c>
      <c r="C40" s="206" t="s">
        <v>323</v>
      </c>
      <c r="D40" s="124"/>
      <c r="E40" s="124"/>
    </row>
    <row r="41" spans="2:5" ht="25.5">
      <c r="B41" s="126" t="s">
        <v>205</v>
      </c>
      <c r="C41" s="206" t="s">
        <v>324</v>
      </c>
      <c r="D41" s="124"/>
      <c r="E41" s="124"/>
    </row>
    <row r="42" spans="2:5">
      <c r="B42" s="126" t="s">
        <v>215</v>
      </c>
      <c r="C42" s="206" t="s">
        <v>325</v>
      </c>
      <c r="D42" s="124"/>
      <c r="E42" s="124"/>
    </row>
    <row r="43" spans="2:5">
      <c r="B43" s="126" t="s">
        <v>216</v>
      </c>
      <c r="C43" s="206" t="s">
        <v>326</v>
      </c>
      <c r="D43" s="124"/>
      <c r="E43" s="124"/>
    </row>
    <row r="44" spans="2:5" ht="25.5">
      <c r="B44" s="126" t="s">
        <v>336</v>
      </c>
      <c r="C44" s="206" t="s">
        <v>327</v>
      </c>
      <c r="D44" s="124"/>
      <c r="E44" s="124"/>
    </row>
    <row r="45" spans="2:5" s="212" customFormat="1" ht="25.5">
      <c r="B45" s="209" t="s">
        <v>221</v>
      </c>
      <c r="C45" s="210" t="s">
        <v>343</v>
      </c>
      <c r="D45" s="211"/>
      <c r="E45" s="211"/>
    </row>
    <row r="46" spans="2:5">
      <c r="B46" s="126" t="s">
        <v>337</v>
      </c>
      <c r="C46" s="206"/>
      <c r="D46" s="124"/>
      <c r="E46" s="124"/>
    </row>
    <row r="47" spans="2:5">
      <c r="B47" s="126" t="s">
        <v>338</v>
      </c>
      <c r="C47" s="206"/>
      <c r="D47" s="124"/>
      <c r="E47" s="124"/>
    </row>
    <row r="48" spans="2:5">
      <c r="B48" s="126" t="s">
        <v>339</v>
      </c>
      <c r="C48" s="206"/>
      <c r="D48" s="124"/>
      <c r="E48" s="124"/>
    </row>
    <row r="49" spans="2:5">
      <c r="B49" s="126" t="s">
        <v>340</v>
      </c>
      <c r="C49" s="206"/>
      <c r="D49" s="124"/>
      <c r="E49" s="124"/>
    </row>
    <row r="50" spans="2:5">
      <c r="B50" s="126" t="s">
        <v>341</v>
      </c>
      <c r="C50" s="206"/>
      <c r="D50" s="124"/>
      <c r="E50" s="124"/>
    </row>
    <row r="51" spans="2:5">
      <c r="B51" s="126" t="s">
        <v>342</v>
      </c>
      <c r="C51" s="206"/>
      <c r="D51" s="124"/>
      <c r="E51" s="124"/>
    </row>
    <row r="52" spans="2:5">
      <c r="B52" s="127"/>
      <c r="C52" s="127"/>
    </row>
    <row r="53" spans="2:5">
      <c r="B53" s="127"/>
      <c r="C53" s="127"/>
    </row>
    <row r="54" spans="2:5">
      <c r="B54" s="131"/>
      <c r="C54" s="131"/>
    </row>
    <row r="56" spans="2:5">
      <c r="B56" s="128"/>
      <c r="C56" s="128"/>
    </row>
    <row r="57" spans="2:5">
      <c r="B57" s="129"/>
      <c r="C57" s="129"/>
    </row>
    <row r="58" spans="2:5">
      <c r="B58" s="130"/>
      <c r="C58" s="130"/>
    </row>
    <row r="59" spans="2:5">
      <c r="B59" s="127"/>
      <c r="C59" s="127"/>
    </row>
    <row r="60" spans="2:5">
      <c r="B60" s="127"/>
      <c r="C60" s="127"/>
    </row>
    <row r="61" spans="2:5">
      <c r="B61" s="127"/>
      <c r="C61" s="127"/>
    </row>
    <row r="64" spans="2:5">
      <c r="B64" s="128"/>
      <c r="C64" s="128"/>
    </row>
    <row r="65" spans="2:3">
      <c r="B65" s="129"/>
      <c r="C65" s="129"/>
    </row>
    <row r="66" spans="2:3">
      <c r="B66" s="130"/>
      <c r="C66" s="130"/>
    </row>
    <row r="67" spans="2:3">
      <c r="B67" s="127"/>
      <c r="C67" s="127"/>
    </row>
    <row r="68" spans="2:3">
      <c r="B68" s="127"/>
      <c r="C68" s="127"/>
    </row>
    <row r="69" spans="2:3">
      <c r="B69" s="127"/>
      <c r="C69" s="127"/>
    </row>
    <row r="73" spans="2:3">
      <c r="B73" s="129"/>
      <c r="C73" s="129"/>
    </row>
    <row r="74" spans="2:3">
      <c r="B74" s="130"/>
      <c r="C74" s="130"/>
    </row>
    <row r="80" spans="2:3">
      <c r="B80" s="128"/>
      <c r="C80" s="128"/>
    </row>
    <row r="81" spans="2:3">
      <c r="B81" s="129"/>
      <c r="C81" s="129"/>
    </row>
    <row r="82" spans="2:3">
      <c r="B82" s="130"/>
      <c r="C82" s="130"/>
    </row>
    <row r="83" spans="2:3">
      <c r="B83" s="127"/>
      <c r="C83" s="127"/>
    </row>
    <row r="84" spans="2:3">
      <c r="B84" s="127"/>
      <c r="C84" s="127"/>
    </row>
    <row r="85" spans="2:3">
      <c r="B85" s="127"/>
      <c r="C85" s="127"/>
    </row>
    <row r="86" spans="2:3">
      <c r="B86" s="131"/>
      <c r="C86" s="131"/>
    </row>
    <row r="87" spans="2:3">
      <c r="B87" s="128"/>
      <c r="C87" s="128"/>
    </row>
    <row r="88" spans="2:3">
      <c r="B88" s="129"/>
      <c r="C88" s="129"/>
    </row>
    <row r="89" spans="2:3">
      <c r="B89" s="130"/>
      <c r="C89" s="130"/>
    </row>
    <row r="90" spans="2:3">
      <c r="B90" s="127"/>
      <c r="C90" s="127"/>
    </row>
    <row r="91" spans="2:3">
      <c r="B91" s="127"/>
      <c r="C91" s="127"/>
    </row>
    <row r="92" spans="2:3">
      <c r="B92" s="127"/>
      <c r="C92" s="127"/>
    </row>
    <row r="93" spans="2:3">
      <c r="B93" s="131"/>
      <c r="C93" s="131"/>
    </row>
    <row r="94" spans="2:3">
      <c r="B94" s="131"/>
      <c r="C94" s="131"/>
    </row>
    <row r="95" spans="2:3">
      <c r="B95" s="131"/>
      <c r="C95" s="131"/>
    </row>
    <row r="96" spans="2:3">
      <c r="B96" s="128"/>
      <c r="C96" s="128"/>
    </row>
    <row r="97" spans="2:3">
      <c r="B97" s="129"/>
      <c r="C97" s="129"/>
    </row>
    <row r="98" spans="2:3">
      <c r="B98" s="130"/>
      <c r="C98" s="130"/>
    </row>
    <row r="99" spans="2:3">
      <c r="B99" s="127"/>
      <c r="C99" s="127"/>
    </row>
    <row r="100" spans="2:3">
      <c r="B100" s="127"/>
      <c r="C100" s="127"/>
    </row>
    <row r="101" spans="2:3">
      <c r="B101" s="127"/>
      <c r="C101" s="127"/>
    </row>
    <row r="102" spans="2:3">
      <c r="B102" s="131"/>
      <c r="C102" s="131"/>
    </row>
    <row r="103" spans="2:3">
      <c r="B103" s="131"/>
      <c r="C103" s="131"/>
    </row>
    <row r="104" spans="2:3">
      <c r="B104" s="131"/>
      <c r="C104" s="131"/>
    </row>
    <row r="105" spans="2:3">
      <c r="B105" s="128"/>
      <c r="C105" s="128"/>
    </row>
    <row r="106" spans="2:3">
      <c r="B106" s="129"/>
      <c r="C106" s="129"/>
    </row>
    <row r="107" spans="2:3">
      <c r="B107" s="130"/>
      <c r="C107" s="130"/>
    </row>
    <row r="108" spans="2:3">
      <c r="B108" s="127"/>
      <c r="C108" s="127"/>
    </row>
    <row r="109" spans="2:3">
      <c r="B109" s="127"/>
      <c r="C109" s="127"/>
    </row>
    <row r="110" spans="2:3">
      <c r="B110" s="127"/>
      <c r="C110" s="127"/>
    </row>
    <row r="111" spans="2:3">
      <c r="B111" s="131"/>
      <c r="C111" s="131"/>
    </row>
    <row r="112" spans="2:3">
      <c r="B112" s="131"/>
      <c r="C112" s="131"/>
    </row>
    <row r="113" spans="2:3">
      <c r="B113" s="131"/>
      <c r="C113" s="131"/>
    </row>
    <row r="114" spans="2:3">
      <c r="B114" s="128"/>
      <c r="C114" s="128"/>
    </row>
    <row r="115" spans="2:3">
      <c r="B115" s="129"/>
      <c r="C115" s="129"/>
    </row>
    <row r="116" spans="2:3">
      <c r="B116" s="130"/>
      <c r="C116" s="130"/>
    </row>
    <row r="117" spans="2:3">
      <c r="B117" s="127"/>
      <c r="C117" s="127"/>
    </row>
    <row r="118" spans="2:3">
      <c r="B118" s="127"/>
      <c r="C118" s="127"/>
    </row>
    <row r="119" spans="2:3">
      <c r="B119" s="127"/>
      <c r="C119" s="127"/>
    </row>
    <row r="120" spans="2:3">
      <c r="B120" s="131"/>
      <c r="C120" s="131"/>
    </row>
    <row r="121" spans="2:3">
      <c r="B121" s="131"/>
      <c r="C121" s="131"/>
    </row>
    <row r="122" spans="2:3">
      <c r="B122" s="131"/>
      <c r="C122" s="131"/>
    </row>
    <row r="123" spans="2:3">
      <c r="B123" s="128"/>
      <c r="C123" s="128"/>
    </row>
    <row r="124" spans="2:3">
      <c r="B124" s="129"/>
      <c r="C124" s="129"/>
    </row>
    <row r="125" spans="2:3">
      <c r="B125" s="130"/>
      <c r="C125" s="130"/>
    </row>
    <row r="126" spans="2:3">
      <c r="B126" s="127"/>
      <c r="C126" s="127"/>
    </row>
    <row r="127" spans="2:3">
      <c r="B127" s="127"/>
      <c r="C127" s="127"/>
    </row>
    <row r="128" spans="2:3">
      <c r="B128" s="127"/>
      <c r="C128" s="127"/>
    </row>
    <row r="129" spans="2:3">
      <c r="B129" s="131"/>
      <c r="C129" s="131"/>
    </row>
    <row r="130" spans="2:3">
      <c r="B130" s="131"/>
      <c r="C130" s="131"/>
    </row>
    <row r="131" spans="2:3">
      <c r="B131" s="131"/>
      <c r="C131" s="131"/>
    </row>
    <row r="132" spans="2:3">
      <c r="B132" s="131"/>
      <c r="C132" s="131"/>
    </row>
    <row r="133" spans="2:3">
      <c r="B133" s="131"/>
      <c r="C133" s="131"/>
    </row>
    <row r="134" spans="2:3">
      <c r="B134" s="128"/>
      <c r="C134" s="128"/>
    </row>
    <row r="135" spans="2:3">
      <c r="B135" s="129"/>
      <c r="C135" s="129"/>
    </row>
    <row r="136" spans="2:3">
      <c r="B136" s="130"/>
      <c r="C136" s="130"/>
    </row>
    <row r="137" spans="2:3">
      <c r="B137" s="127"/>
      <c r="C137" s="127"/>
    </row>
    <row r="138" spans="2:3">
      <c r="B138" s="127"/>
      <c r="C138" s="127"/>
    </row>
    <row r="139" spans="2:3">
      <c r="B139" s="127"/>
      <c r="C139" s="127"/>
    </row>
    <row r="140" spans="2:3">
      <c r="B140" s="131"/>
      <c r="C140" s="131"/>
    </row>
    <row r="141" spans="2:3">
      <c r="B141" s="131"/>
      <c r="C141" s="131"/>
    </row>
    <row r="142" spans="2:3">
      <c r="B142" s="131"/>
      <c r="C142" s="131"/>
    </row>
    <row r="143" spans="2:3">
      <c r="B143" s="131"/>
      <c r="C143" s="131"/>
    </row>
    <row r="144" spans="2:3">
      <c r="B144" s="131"/>
      <c r="C144" s="131"/>
    </row>
    <row r="145" spans="2:3">
      <c r="B145" s="128"/>
      <c r="C145" s="128"/>
    </row>
    <row r="146" spans="2:3">
      <c r="B146" s="129"/>
      <c r="C146" s="129"/>
    </row>
    <row r="147" spans="2:3">
      <c r="B147" s="130"/>
      <c r="C147" s="130"/>
    </row>
    <row r="148" spans="2:3">
      <c r="B148" s="127"/>
      <c r="C148" s="127"/>
    </row>
    <row r="149" spans="2:3">
      <c r="B149" s="127"/>
      <c r="C149" s="127"/>
    </row>
    <row r="150" spans="2:3">
      <c r="B150" s="127"/>
      <c r="C150" s="127"/>
    </row>
    <row r="151" spans="2:3">
      <c r="B151" s="131"/>
      <c r="C151" s="131"/>
    </row>
    <row r="152" spans="2:3">
      <c r="B152" s="131"/>
      <c r="C152" s="131"/>
    </row>
    <row r="153" spans="2:3">
      <c r="B153" s="131"/>
      <c r="C153" s="131"/>
    </row>
    <row r="154" spans="2:3">
      <c r="B154" s="128"/>
      <c r="C154" s="128"/>
    </row>
    <row r="155" spans="2:3">
      <c r="B155" s="129"/>
      <c r="C155" s="129"/>
    </row>
    <row r="156" spans="2:3">
      <c r="B156" s="130"/>
      <c r="C156" s="130"/>
    </row>
    <row r="157" spans="2:3">
      <c r="B157" s="127"/>
      <c r="C157" s="127"/>
    </row>
    <row r="158" spans="2:3">
      <c r="B158" s="127"/>
      <c r="C158" s="127"/>
    </row>
    <row r="159" spans="2:3">
      <c r="B159" s="127"/>
      <c r="C159" s="127"/>
    </row>
    <row r="160" spans="2:3">
      <c r="B160" s="131"/>
      <c r="C160" s="131"/>
    </row>
    <row r="161" spans="2:3">
      <c r="B161" s="131"/>
      <c r="C161" s="131"/>
    </row>
    <row r="162" spans="2:3">
      <c r="B162" s="131"/>
      <c r="C162" s="131"/>
    </row>
    <row r="163" spans="2:3">
      <c r="B163" s="128"/>
      <c r="C163" s="128"/>
    </row>
    <row r="164" spans="2:3">
      <c r="B164" s="129"/>
      <c r="C164" s="129"/>
    </row>
    <row r="165" spans="2:3">
      <c r="B165" s="130"/>
      <c r="C165" s="130"/>
    </row>
    <row r="166" spans="2:3">
      <c r="B166" s="127"/>
      <c r="C166" s="127"/>
    </row>
    <row r="167" spans="2:3">
      <c r="B167" s="127"/>
      <c r="C167" s="127"/>
    </row>
    <row r="168" spans="2:3">
      <c r="B168" s="127"/>
      <c r="C168" s="127"/>
    </row>
    <row r="169" spans="2:3">
      <c r="B169" s="131"/>
      <c r="C169" s="131"/>
    </row>
    <row r="170" spans="2:3">
      <c r="B170" s="131"/>
      <c r="C170" s="131"/>
    </row>
    <row r="171" spans="2:3">
      <c r="B171" s="131"/>
      <c r="C171" s="131"/>
    </row>
    <row r="172" spans="2:3">
      <c r="B172" s="128"/>
      <c r="C172" s="128"/>
    </row>
    <row r="173" spans="2:3">
      <c r="B173" s="129"/>
      <c r="C173" s="129"/>
    </row>
    <row r="174" spans="2:3">
      <c r="B174" s="130"/>
      <c r="C174" s="130"/>
    </row>
    <row r="175" spans="2:3">
      <c r="B175" s="127"/>
      <c r="C175" s="127"/>
    </row>
    <row r="176" spans="2:3">
      <c r="B176" s="127"/>
      <c r="C176" s="127"/>
    </row>
    <row r="177" spans="2:3">
      <c r="B177" s="127"/>
      <c r="C177" s="127"/>
    </row>
    <row r="178" spans="2:3">
      <c r="B178" s="131"/>
      <c r="C178" s="131"/>
    </row>
    <row r="179" spans="2:3">
      <c r="B179" s="131"/>
      <c r="C179" s="131"/>
    </row>
    <row r="180" spans="2:3">
      <c r="B180" s="131"/>
      <c r="C180" s="131"/>
    </row>
    <row r="181" spans="2:3">
      <c r="B181" s="128"/>
      <c r="C181" s="128"/>
    </row>
    <row r="182" spans="2:3">
      <c r="B182" s="129"/>
      <c r="C182" s="129"/>
    </row>
    <row r="183" spans="2:3">
      <c r="B183" s="130"/>
      <c r="C183" s="130"/>
    </row>
    <row r="184" spans="2:3">
      <c r="B184" s="127"/>
      <c r="C184" s="127"/>
    </row>
    <row r="185" spans="2:3">
      <c r="B185" s="127"/>
      <c r="C185" s="127"/>
    </row>
    <row r="186" spans="2:3">
      <c r="B186" s="127"/>
      <c r="C186" s="127"/>
    </row>
    <row r="187" spans="2:3">
      <c r="B187" s="131"/>
      <c r="C187" s="131"/>
    </row>
    <row r="188" spans="2:3">
      <c r="B188" s="131"/>
      <c r="C188" s="131"/>
    </row>
    <row r="189" spans="2:3">
      <c r="B189" s="128"/>
      <c r="C189" s="128"/>
    </row>
    <row r="190" spans="2:3">
      <c r="B190" s="129"/>
      <c r="C190" s="129"/>
    </row>
    <row r="191" spans="2:3">
      <c r="B191" s="130"/>
      <c r="C191" s="130"/>
    </row>
    <row r="192" spans="2:3">
      <c r="B192" s="127"/>
      <c r="C192" s="127"/>
    </row>
    <row r="193" spans="2:3">
      <c r="B193" s="127"/>
      <c r="C193" s="127"/>
    </row>
    <row r="194" spans="2:3">
      <c r="B194" s="127"/>
      <c r="C194" s="127"/>
    </row>
    <row r="195" spans="2:3">
      <c r="B195" s="131"/>
      <c r="C195" s="131"/>
    </row>
    <row r="196" spans="2:3">
      <c r="B196" s="131"/>
      <c r="C196" s="131"/>
    </row>
    <row r="197" spans="2:3">
      <c r="B197" s="131"/>
      <c r="C197" s="131"/>
    </row>
    <row r="198" spans="2:3">
      <c r="B198" s="128"/>
      <c r="C198" s="128"/>
    </row>
    <row r="199" spans="2:3">
      <c r="B199" s="129"/>
      <c r="C199" s="129"/>
    </row>
    <row r="200" spans="2:3">
      <c r="B200" s="130"/>
      <c r="C200" s="130"/>
    </row>
    <row r="201" spans="2:3">
      <c r="B201" s="127"/>
      <c r="C201" s="127"/>
    </row>
    <row r="202" spans="2:3">
      <c r="B202" s="127"/>
      <c r="C202" s="127"/>
    </row>
    <row r="203" spans="2:3">
      <c r="B203" s="127"/>
      <c r="C203" s="127"/>
    </row>
    <row r="204" spans="2:3">
      <c r="B204" s="131"/>
      <c r="C204" s="131"/>
    </row>
    <row r="205" spans="2:3">
      <c r="B205" s="131"/>
      <c r="C205" s="131"/>
    </row>
    <row r="206" spans="2:3">
      <c r="B206" s="128"/>
      <c r="C206" s="128"/>
    </row>
    <row r="207" spans="2:3">
      <c r="B207" s="129"/>
      <c r="C207" s="129"/>
    </row>
    <row r="208" spans="2:3">
      <c r="B208" s="130"/>
      <c r="C208" s="130"/>
    </row>
    <row r="209" spans="2:3">
      <c r="B209" s="127"/>
      <c r="C209" s="127"/>
    </row>
    <row r="210" spans="2:3">
      <c r="B210" s="127"/>
      <c r="C210" s="127"/>
    </row>
    <row r="211" spans="2:3">
      <c r="B211" s="127"/>
      <c r="C211" s="127"/>
    </row>
    <row r="212" spans="2:3">
      <c r="B212" s="131"/>
      <c r="C212" s="131"/>
    </row>
    <row r="213" spans="2:3">
      <c r="B213" s="131"/>
      <c r="C213" s="131"/>
    </row>
    <row r="214" spans="2:3">
      <c r="B214" s="128"/>
      <c r="C214" s="128"/>
    </row>
    <row r="215" spans="2:3">
      <c r="B215" s="129"/>
      <c r="C215" s="129"/>
    </row>
    <row r="216" spans="2:3">
      <c r="B216" s="130"/>
      <c r="C216" s="130"/>
    </row>
    <row r="217" spans="2:3">
      <c r="B217" s="127"/>
      <c r="C217" s="127"/>
    </row>
    <row r="218" spans="2:3">
      <c r="B218" s="127"/>
      <c r="C218" s="127"/>
    </row>
    <row r="219" spans="2:3">
      <c r="B219" s="127"/>
      <c r="C219" s="127"/>
    </row>
    <row r="220" spans="2:3">
      <c r="B220" s="131"/>
      <c r="C220" s="131"/>
    </row>
    <row r="221" spans="2:3">
      <c r="B221" s="131"/>
      <c r="C221" s="131"/>
    </row>
    <row r="222" spans="2:3">
      <c r="B222" s="128"/>
      <c r="C222" s="128"/>
    </row>
    <row r="223" spans="2:3">
      <c r="B223" s="129"/>
      <c r="C223" s="129"/>
    </row>
    <row r="224" spans="2:3">
      <c r="B224" s="130"/>
      <c r="C224" s="130"/>
    </row>
    <row r="225" spans="2:3">
      <c r="B225" s="127"/>
      <c r="C225" s="127"/>
    </row>
    <row r="226" spans="2:3">
      <c r="B226" s="127"/>
      <c r="C226" s="127"/>
    </row>
    <row r="227" spans="2:3">
      <c r="B227" s="127"/>
      <c r="C227" s="127"/>
    </row>
    <row r="228" spans="2:3">
      <c r="B228" s="131"/>
      <c r="C228" s="131"/>
    </row>
    <row r="229" spans="2:3">
      <c r="B229" s="131"/>
      <c r="C229" s="131"/>
    </row>
    <row r="230" spans="2:3">
      <c r="B230" s="131"/>
      <c r="C230" s="131"/>
    </row>
    <row r="231" spans="2:3">
      <c r="B231" s="128"/>
      <c r="C231" s="128"/>
    </row>
    <row r="232" spans="2:3">
      <c r="B232" s="129"/>
      <c r="C232" s="129"/>
    </row>
    <row r="233" spans="2:3">
      <c r="B233" s="130"/>
      <c r="C233" s="130"/>
    </row>
    <row r="234" spans="2:3">
      <c r="B234" s="127"/>
      <c r="C234" s="127"/>
    </row>
    <row r="235" spans="2:3">
      <c r="B235" s="127"/>
      <c r="C235" s="127"/>
    </row>
    <row r="236" spans="2:3">
      <c r="B236" s="127"/>
      <c r="C236" s="127"/>
    </row>
    <row r="237" spans="2:3">
      <c r="B237" s="131"/>
      <c r="C237" s="131"/>
    </row>
    <row r="238" spans="2:3">
      <c r="B238" s="131"/>
      <c r="C238" s="131"/>
    </row>
    <row r="239" spans="2:3">
      <c r="B239" s="128"/>
      <c r="C239" s="128"/>
    </row>
    <row r="240" spans="2:3">
      <c r="B240" s="129"/>
      <c r="C240" s="129"/>
    </row>
    <row r="241" spans="2:3">
      <c r="B241" s="130"/>
      <c r="C241" s="130"/>
    </row>
    <row r="242" spans="2:3">
      <c r="B242" s="127"/>
      <c r="C242" s="127"/>
    </row>
    <row r="243" spans="2:3">
      <c r="B243" s="127"/>
      <c r="C243" s="127"/>
    </row>
    <row r="244" spans="2:3">
      <c r="B244" s="127"/>
      <c r="C244" s="127"/>
    </row>
    <row r="245" spans="2:3">
      <c r="B245" s="131"/>
      <c r="C245" s="131"/>
    </row>
    <row r="246" spans="2:3">
      <c r="B246" s="131"/>
      <c r="C246" s="131"/>
    </row>
    <row r="247" spans="2:3">
      <c r="B247" s="128"/>
      <c r="C247" s="128"/>
    </row>
    <row r="248" spans="2:3">
      <c r="B248" s="129"/>
      <c r="C248" s="129"/>
    </row>
    <row r="249" spans="2:3">
      <c r="B249" s="130"/>
      <c r="C249" s="130"/>
    </row>
    <row r="250" spans="2:3">
      <c r="B250" s="127"/>
      <c r="C250" s="127"/>
    </row>
    <row r="251" spans="2:3">
      <c r="B251" s="127"/>
      <c r="C251" s="127"/>
    </row>
    <row r="252" spans="2:3">
      <c r="B252" s="127"/>
      <c r="C252" s="127"/>
    </row>
    <row r="253" spans="2:3">
      <c r="B253" s="131"/>
      <c r="C253" s="131"/>
    </row>
    <row r="254" spans="2:3">
      <c r="B254" s="131"/>
      <c r="C254" s="131"/>
    </row>
    <row r="255" spans="2:3">
      <c r="B255" s="128"/>
      <c r="C255" s="128"/>
    </row>
    <row r="256" spans="2:3">
      <c r="B256" s="129"/>
      <c r="C256" s="129"/>
    </row>
    <row r="257" spans="2:3">
      <c r="B257" s="130"/>
      <c r="C257" s="130"/>
    </row>
    <row r="258" spans="2:3">
      <c r="B258" s="127"/>
      <c r="C258" s="127"/>
    </row>
    <row r="259" spans="2:3">
      <c r="B259" s="127"/>
      <c r="C259" s="127"/>
    </row>
    <row r="260" spans="2:3">
      <c r="B260" s="127"/>
      <c r="C260" s="127"/>
    </row>
    <row r="261" spans="2:3">
      <c r="B261" s="131"/>
      <c r="C261" s="131"/>
    </row>
    <row r="262" spans="2:3">
      <c r="B262" s="131"/>
      <c r="C262" s="131"/>
    </row>
    <row r="263" spans="2:3">
      <c r="B263" s="128"/>
      <c r="C263" s="128"/>
    </row>
    <row r="264" spans="2:3">
      <c r="B264" s="129"/>
      <c r="C264" s="129"/>
    </row>
    <row r="265" spans="2:3">
      <c r="B265" s="130"/>
      <c r="C265" s="130"/>
    </row>
    <row r="266" spans="2:3">
      <c r="B266" s="127"/>
      <c r="C266" s="127"/>
    </row>
    <row r="267" spans="2:3">
      <c r="B267" s="127"/>
      <c r="C267" s="127"/>
    </row>
    <row r="268" spans="2:3">
      <c r="B268" s="127"/>
      <c r="C268" s="127"/>
    </row>
    <row r="269" spans="2:3">
      <c r="B269" s="131"/>
      <c r="C269" s="131"/>
    </row>
    <row r="270" spans="2:3">
      <c r="B270" s="131"/>
      <c r="C270" s="131"/>
    </row>
    <row r="271" spans="2:3">
      <c r="B271" s="128"/>
      <c r="C271" s="128"/>
    </row>
    <row r="272" spans="2:3">
      <c r="B272" s="129"/>
      <c r="C272" s="129"/>
    </row>
    <row r="273" spans="2:3">
      <c r="B273" s="130"/>
      <c r="C273" s="130"/>
    </row>
    <row r="274" spans="2:3">
      <c r="B274" s="127"/>
      <c r="C274" s="127"/>
    </row>
    <row r="275" spans="2:3">
      <c r="B275" s="127"/>
      <c r="C275" s="127"/>
    </row>
    <row r="276" spans="2:3">
      <c r="B276" s="127"/>
      <c r="C276" s="127"/>
    </row>
    <row r="277" spans="2:3">
      <c r="B277" s="128"/>
      <c r="C277" s="128"/>
    </row>
    <row r="278" spans="2:3">
      <c r="B278" s="129"/>
      <c r="C278" s="129"/>
    </row>
    <row r="279" spans="2:3">
      <c r="B279" s="130"/>
      <c r="C279" s="130"/>
    </row>
    <row r="280" spans="2:3">
      <c r="B280" s="127"/>
      <c r="C280" s="127"/>
    </row>
    <row r="281" spans="2:3">
      <c r="B281" s="127"/>
      <c r="C281" s="127"/>
    </row>
    <row r="282" spans="2:3">
      <c r="B282" s="127"/>
      <c r="C282" s="127"/>
    </row>
    <row r="283" spans="2:3">
      <c r="B283" s="131"/>
      <c r="C283" s="131"/>
    </row>
    <row r="284" spans="2:3">
      <c r="B284" s="131"/>
      <c r="C284" s="131"/>
    </row>
    <row r="285" spans="2:3">
      <c r="B285" s="131"/>
      <c r="C285" s="131"/>
    </row>
    <row r="286" spans="2:3">
      <c r="B286" s="128"/>
      <c r="C286" s="128"/>
    </row>
    <row r="287" spans="2:3">
      <c r="B287" s="129"/>
      <c r="C287" s="129"/>
    </row>
    <row r="288" spans="2:3">
      <c r="B288" s="130"/>
      <c r="C288" s="130"/>
    </row>
    <row r="289" spans="2:3">
      <c r="B289" s="127"/>
      <c r="C289" s="127"/>
    </row>
    <row r="290" spans="2:3">
      <c r="B290" s="131"/>
      <c r="C290" s="131"/>
    </row>
    <row r="291" spans="2:3">
      <c r="B291" s="131"/>
      <c r="C291" s="131"/>
    </row>
    <row r="292" spans="2:3">
      <c r="B292" s="131"/>
      <c r="C292" s="131"/>
    </row>
    <row r="293" spans="2:3">
      <c r="B293" s="128"/>
      <c r="C293" s="128"/>
    </row>
    <row r="294" spans="2:3">
      <c r="B294" s="129"/>
      <c r="C294" s="129"/>
    </row>
    <row r="295" spans="2:3">
      <c r="B295" s="130"/>
      <c r="C295" s="130"/>
    </row>
    <row r="296" spans="2:3">
      <c r="B296" s="127"/>
      <c r="C296" s="127"/>
    </row>
    <row r="297" spans="2:3">
      <c r="B297" s="127"/>
      <c r="C297" s="127"/>
    </row>
    <row r="298" spans="2:3">
      <c r="B298" s="127"/>
      <c r="C298" s="127"/>
    </row>
    <row r="299" spans="2:3">
      <c r="B299" s="131"/>
      <c r="C299" s="131"/>
    </row>
    <row r="300" spans="2:3">
      <c r="B300" s="131"/>
      <c r="C300" s="131"/>
    </row>
    <row r="301" spans="2:3">
      <c r="B301" s="131"/>
      <c r="C301" s="131"/>
    </row>
    <row r="302" spans="2:3">
      <c r="B302" s="128"/>
      <c r="C302" s="128"/>
    </row>
    <row r="303" spans="2:3">
      <c r="B303" s="129"/>
      <c r="C303" s="129"/>
    </row>
    <row r="304" spans="2:3">
      <c r="B304" s="130"/>
      <c r="C304" s="130"/>
    </row>
    <row r="305" spans="2:3">
      <c r="B305" s="127"/>
      <c r="C305" s="127"/>
    </row>
    <row r="306" spans="2:3">
      <c r="B306" s="127"/>
      <c r="C306" s="127"/>
    </row>
    <row r="307" spans="2:3">
      <c r="B307" s="127"/>
      <c r="C307" s="127"/>
    </row>
  </sheetData>
  <sortState ref="B16:B301">
    <sortCondition ref="B16:B301"/>
  </sortState>
  <conditionalFormatting sqref="D9:D44">
    <cfRule type="cellIs" dxfId="5" priority="4" operator="equal">
      <formula>"I"</formula>
    </cfRule>
    <cfRule type="cellIs" dxfId="4" priority="5" operator="equal">
      <formula>"F"</formula>
    </cfRule>
    <cfRule type="cellIs" dxfId="3" priority="6" operator="equal">
      <formula>"P"</formula>
    </cfRule>
  </conditionalFormatting>
  <conditionalFormatting sqref="D45:D51">
    <cfRule type="cellIs" dxfId="2" priority="1" operator="equal">
      <formula>"I"</formula>
    </cfRule>
    <cfRule type="cellIs" dxfId="1" priority="2" operator="equal">
      <formula>"F"</formula>
    </cfRule>
    <cfRule type="cellIs" dxfId="0" priority="3" operator="equal">
      <formula>"P"</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dimension ref="B3:B5"/>
  <sheetViews>
    <sheetView workbookViewId="0">
      <selection activeCell="B24" sqref="B24"/>
    </sheetView>
  </sheetViews>
  <sheetFormatPr defaultRowHeight="15"/>
  <cols>
    <col min="2" max="2" width="83.28515625" customWidth="1"/>
  </cols>
  <sheetData>
    <row r="3" spans="2:2">
      <c r="B3" s="2" t="s">
        <v>235</v>
      </c>
    </row>
    <row r="4" spans="2:2" ht="30">
      <c r="B4" s="85" t="s">
        <v>236</v>
      </c>
    </row>
    <row r="5" spans="2:2" s="203" customFormat="1" ht="30">
      <c r="B5" s="203" t="s">
        <v>292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O109"/>
  <sheetViews>
    <sheetView topLeftCell="A97" workbookViewId="0">
      <selection activeCell="C97" sqref="C97"/>
    </sheetView>
  </sheetViews>
  <sheetFormatPr defaultRowHeight="15"/>
  <cols>
    <col min="1" max="1" width="11.140625" customWidth="1"/>
    <col min="2" max="2" width="15.7109375" bestFit="1" customWidth="1"/>
    <col min="3" max="3" width="16.85546875" customWidth="1"/>
    <col min="4" max="4" width="16" bestFit="1" customWidth="1"/>
    <col min="5" max="5" width="16.7109375" bestFit="1" customWidth="1"/>
    <col min="6" max="6" width="9.28515625" customWidth="1"/>
    <col min="7" max="7" width="12.5703125" customWidth="1"/>
    <col min="8" max="8" width="16" bestFit="1" customWidth="1"/>
    <col min="9" max="9" width="14.85546875" bestFit="1" customWidth="1"/>
    <col min="10" max="10" width="14.85546875" customWidth="1"/>
    <col min="12" max="12" width="15.5703125" bestFit="1" customWidth="1"/>
    <col min="13" max="13" width="12" bestFit="1" customWidth="1"/>
  </cols>
  <sheetData>
    <row r="1" spans="1:15">
      <c r="A1" t="s">
        <v>38</v>
      </c>
      <c r="B1" s="4">
        <v>5000</v>
      </c>
      <c r="D1" s="34"/>
      <c r="E1" s="34"/>
      <c r="F1" s="34"/>
      <c r="G1" s="34"/>
      <c r="H1" t="s">
        <v>15</v>
      </c>
    </row>
    <row r="2" spans="1:15">
      <c r="B2" s="32" t="s">
        <v>39</v>
      </c>
      <c r="C2" s="33" t="s">
        <v>29</v>
      </c>
      <c r="D2" s="76" t="s">
        <v>40</v>
      </c>
      <c r="E2" s="76" t="s">
        <v>41</v>
      </c>
      <c r="F2" s="34"/>
      <c r="G2" s="34"/>
    </row>
    <row r="3" spans="1:15">
      <c r="B3" s="29">
        <v>40455</v>
      </c>
      <c r="C3" s="80">
        <f>M17</f>
        <v>17.399999999999999</v>
      </c>
      <c r="D3" s="31">
        <f>D30</f>
        <v>600.19519185150068</v>
      </c>
      <c r="E3" s="31">
        <f>F15</f>
        <v>373.29781555711077</v>
      </c>
      <c r="F3" s="34"/>
      <c r="G3" s="34"/>
      <c r="H3" s="4"/>
    </row>
    <row r="4" spans="1:15">
      <c r="B4" s="29">
        <v>40546</v>
      </c>
      <c r="C4" s="80">
        <f>M42</f>
        <v>17.350000000000001</v>
      </c>
      <c r="D4" s="31">
        <f>D55</f>
        <v>599.79116892956006</v>
      </c>
      <c r="E4" s="31">
        <f>F40</f>
        <v>373.17928874645281</v>
      </c>
      <c r="F4" s="34"/>
      <c r="G4" s="34"/>
      <c r="H4" s="4"/>
      <c r="I4" s="23"/>
    </row>
    <row r="5" spans="1:15">
      <c r="B5" s="29">
        <v>40609</v>
      </c>
      <c r="C5" s="80">
        <f>M67</f>
        <v>17.55</v>
      </c>
      <c r="D5" s="31">
        <f>D80</f>
        <v>600.46600414225747</v>
      </c>
      <c r="E5" s="31">
        <f>F65</f>
        <v>373.29781555711077</v>
      </c>
      <c r="F5" s="34"/>
      <c r="G5" s="34"/>
    </row>
    <row r="6" spans="1:15">
      <c r="B6" s="29">
        <v>40728</v>
      </c>
      <c r="C6" s="80">
        <f>M94</f>
        <v>17.32</v>
      </c>
      <c r="D6" s="31">
        <f>D107</f>
        <v>599.72338810869405</v>
      </c>
      <c r="E6" s="31">
        <f>F92</f>
        <v>373.29781555711077</v>
      </c>
      <c r="F6" s="34"/>
      <c r="G6" s="34"/>
      <c r="J6" s="38"/>
    </row>
    <row r="7" spans="1:15">
      <c r="D7" s="34"/>
      <c r="E7" s="34"/>
      <c r="F7" s="34"/>
      <c r="G7" s="34"/>
      <c r="J7" s="38"/>
    </row>
    <row r="8" spans="1:15">
      <c r="B8" s="2"/>
      <c r="D8" s="34"/>
      <c r="E8" s="34"/>
      <c r="F8" s="34"/>
      <c r="G8" s="34"/>
      <c r="H8" s="25"/>
      <c r="J8" s="38"/>
    </row>
    <row r="9" spans="1:15">
      <c r="A9" s="2" t="s">
        <v>7</v>
      </c>
      <c r="B9" t="s">
        <v>6</v>
      </c>
      <c r="C9" s="4">
        <v>5000</v>
      </c>
      <c r="D9" s="34"/>
      <c r="E9" s="34"/>
      <c r="F9" s="34"/>
      <c r="G9" s="34"/>
      <c r="J9" s="38"/>
    </row>
    <row r="10" spans="1:15">
      <c r="B10" t="s">
        <v>16</v>
      </c>
      <c r="C10" s="4">
        <v>15</v>
      </c>
      <c r="D10" s="34"/>
      <c r="E10" s="34"/>
      <c r="F10" s="34"/>
      <c r="G10" s="34"/>
      <c r="J10" s="38"/>
    </row>
    <row r="11" spans="1:15">
      <c r="B11" s="24" t="s">
        <v>12</v>
      </c>
      <c r="C11" s="40">
        <v>40455</v>
      </c>
      <c r="D11" s="34"/>
      <c r="E11" s="34"/>
      <c r="F11" s="34"/>
      <c r="G11" s="34"/>
      <c r="J11" s="38"/>
    </row>
    <row r="12" spans="1:15">
      <c r="C12" s="21"/>
      <c r="D12" s="34"/>
      <c r="E12" s="34"/>
      <c r="F12" s="34"/>
      <c r="G12" s="34"/>
      <c r="J12" s="38"/>
    </row>
    <row r="13" spans="1:15">
      <c r="C13" s="3"/>
      <c r="D13" s="34"/>
      <c r="E13" s="34"/>
      <c r="F13" s="34"/>
      <c r="G13" s="34" t="s">
        <v>14</v>
      </c>
      <c r="J13" s="38"/>
    </row>
    <row r="14" spans="1:15">
      <c r="A14" s="32" t="s">
        <v>13</v>
      </c>
      <c r="B14" s="32" t="s">
        <v>9</v>
      </c>
      <c r="C14" s="41" t="s">
        <v>11</v>
      </c>
      <c r="D14" s="42" t="s">
        <v>2</v>
      </c>
      <c r="E14" s="42" t="s">
        <v>3</v>
      </c>
      <c r="F14" s="42" t="s">
        <v>22</v>
      </c>
      <c r="G14" s="42">
        <v>5000</v>
      </c>
      <c r="H14" s="43" t="s">
        <v>31</v>
      </c>
      <c r="I14" s="44" t="s">
        <v>30</v>
      </c>
      <c r="J14" s="45" t="s">
        <v>35</v>
      </c>
      <c r="L14" s="36" t="s">
        <v>17</v>
      </c>
      <c r="M14" s="26">
        <f>M17/100/12</f>
        <v>1.4499999999999999E-2</v>
      </c>
      <c r="N14" t="s">
        <v>23</v>
      </c>
    </row>
    <row r="15" spans="1:15">
      <c r="A15" s="27">
        <v>1</v>
      </c>
      <c r="B15" s="29">
        <v>40483</v>
      </c>
      <c r="C15" s="102">
        <f>B15-C11</f>
        <v>28</v>
      </c>
      <c r="D15" s="82">
        <f t="shared" ref="D15:D29" si="0">$M$18*G14*C15</f>
        <v>66.739726027397253</v>
      </c>
      <c r="E15" s="83">
        <f>F15-D15</f>
        <v>306.55808952971353</v>
      </c>
      <c r="F15" s="83">
        <f t="shared" ref="F15:F28" si="1">$O$16</f>
        <v>373.29781555711077</v>
      </c>
      <c r="G15" s="48">
        <f>G14-E15</f>
        <v>4693.4419104702865</v>
      </c>
      <c r="H15" s="27"/>
      <c r="I15" s="48">
        <v>610</v>
      </c>
      <c r="J15" s="35">
        <f>I15-F15</f>
        <v>236.70218444288923</v>
      </c>
      <c r="L15" s="37" t="s">
        <v>18</v>
      </c>
      <c r="M15" s="26">
        <v>5000</v>
      </c>
    </row>
    <row r="16" spans="1:15">
      <c r="A16" s="27">
        <v>2</v>
      </c>
      <c r="B16" s="29">
        <v>40518</v>
      </c>
      <c r="C16" s="102">
        <f>B16-B15</f>
        <v>35</v>
      </c>
      <c r="D16" s="82">
        <f t="shared" si="0"/>
        <v>78.309756807572711</v>
      </c>
      <c r="E16" s="83">
        <f>F16-D16</f>
        <v>294.98805874953803</v>
      </c>
      <c r="F16" s="83">
        <f t="shared" si="1"/>
        <v>373.29781555711077</v>
      </c>
      <c r="G16" s="48">
        <f>G15-E16</f>
        <v>4398.4538517207484</v>
      </c>
      <c r="H16" s="27"/>
      <c r="I16" s="48">
        <v>605</v>
      </c>
      <c r="J16" s="35">
        <f t="shared" ref="J16:J29" si="2">I16-F16</f>
        <v>231.70218444288923</v>
      </c>
      <c r="L16" s="37" t="s">
        <v>19</v>
      </c>
      <c r="M16" s="26">
        <v>15</v>
      </c>
      <c r="N16" t="s">
        <v>24</v>
      </c>
      <c r="O16" s="24">
        <f>(M14*M15)/(1-(1+M14)^-M16)</f>
        <v>373.29781555711077</v>
      </c>
    </row>
    <row r="17" spans="1:13">
      <c r="A17" s="27">
        <v>3</v>
      </c>
      <c r="B17" s="29">
        <v>40546</v>
      </c>
      <c r="C17" s="102">
        <f t="shared" ref="C17:C28" si="3">B17-B16</f>
        <v>28</v>
      </c>
      <c r="D17" s="82">
        <f t="shared" si="0"/>
        <v>58.710321001598587</v>
      </c>
      <c r="E17" s="83">
        <f t="shared" ref="E17:E29" si="4">F17-D17</f>
        <v>314.58749455551219</v>
      </c>
      <c r="F17" s="83">
        <f t="shared" si="1"/>
        <v>373.29781555711077</v>
      </c>
      <c r="G17" s="48">
        <f t="shared" ref="G17:G29" si="5">G16-E17</f>
        <v>4083.866357165236</v>
      </c>
      <c r="H17" s="27"/>
      <c r="I17" s="48">
        <v>600</v>
      </c>
      <c r="J17" s="35">
        <f t="shared" si="2"/>
        <v>226.70218444288923</v>
      </c>
      <c r="L17" s="37" t="s">
        <v>20</v>
      </c>
      <c r="M17" s="75">
        <v>17.399999999999999</v>
      </c>
    </row>
    <row r="18" spans="1:13">
      <c r="A18" s="27">
        <v>4</v>
      </c>
      <c r="B18" s="29">
        <v>40581</v>
      </c>
      <c r="C18" s="102">
        <f>B18-B17</f>
        <v>35</v>
      </c>
      <c r="D18" s="82">
        <f t="shared" si="0"/>
        <v>68.139030452428173</v>
      </c>
      <c r="E18" s="83">
        <f t="shared" si="4"/>
        <v>305.15878510468258</v>
      </c>
      <c r="F18" s="83">
        <f t="shared" si="1"/>
        <v>373.29781555711077</v>
      </c>
      <c r="G18" s="48">
        <f t="shared" si="5"/>
        <v>3778.7075720605535</v>
      </c>
      <c r="H18" s="27"/>
      <c r="I18" s="48">
        <v>600</v>
      </c>
      <c r="J18" s="35">
        <f t="shared" si="2"/>
        <v>226.70218444288923</v>
      </c>
      <c r="L18" s="37" t="s">
        <v>25</v>
      </c>
      <c r="M18" s="26">
        <f>M17/36500</f>
        <v>4.7671232876712324E-4</v>
      </c>
    </row>
    <row r="19" spans="1:13">
      <c r="A19" s="27">
        <v>5</v>
      </c>
      <c r="B19" s="29">
        <v>40609</v>
      </c>
      <c r="C19" s="102">
        <f>B19-B18</f>
        <v>28</v>
      </c>
      <c r="D19" s="82">
        <f t="shared" si="0"/>
        <v>50.437981619394563</v>
      </c>
      <c r="E19" s="83">
        <f t="shared" si="4"/>
        <v>322.85983393771619</v>
      </c>
      <c r="F19" s="83">
        <f t="shared" si="1"/>
        <v>373.29781555711077</v>
      </c>
      <c r="G19" s="48">
        <f t="shared" si="5"/>
        <v>3455.8477381228372</v>
      </c>
      <c r="H19" s="27"/>
      <c r="I19" s="48">
        <v>600</v>
      </c>
      <c r="J19" s="35">
        <f t="shared" si="2"/>
        <v>226.70218444288923</v>
      </c>
    </row>
    <row r="20" spans="1:13">
      <c r="A20" s="27">
        <v>6</v>
      </c>
      <c r="B20" s="29">
        <v>40637</v>
      </c>
      <c r="C20" s="102">
        <f>B20-B19</f>
        <v>28</v>
      </c>
      <c r="D20" s="82">
        <f t="shared" si="0"/>
        <v>46.128466246943724</v>
      </c>
      <c r="E20" s="83">
        <f t="shared" si="4"/>
        <v>327.16934931016704</v>
      </c>
      <c r="F20" s="83">
        <f t="shared" si="1"/>
        <v>373.29781555711077</v>
      </c>
      <c r="G20" s="48">
        <f t="shared" si="5"/>
        <v>3128.6783888126702</v>
      </c>
      <c r="H20" s="27"/>
      <c r="I20" s="48">
        <v>600</v>
      </c>
      <c r="J20" s="35">
        <f t="shared" si="2"/>
        <v>226.70218444288923</v>
      </c>
    </row>
    <row r="21" spans="1:13">
      <c r="A21" s="27">
        <v>7</v>
      </c>
      <c r="B21" s="29">
        <v>40665</v>
      </c>
      <c r="C21" s="102">
        <f t="shared" si="3"/>
        <v>28</v>
      </c>
      <c r="D21" s="82">
        <f t="shared" si="0"/>
        <v>41.761427699439253</v>
      </c>
      <c r="E21" s="83">
        <f t="shared" si="4"/>
        <v>331.53638785767151</v>
      </c>
      <c r="F21" s="83">
        <f t="shared" si="1"/>
        <v>373.29781555711077</v>
      </c>
      <c r="G21" s="48">
        <f t="shared" si="5"/>
        <v>2797.1420009549988</v>
      </c>
      <c r="H21" s="27"/>
      <c r="I21" s="48">
        <v>600</v>
      </c>
      <c r="J21" s="35">
        <f t="shared" si="2"/>
        <v>226.70218444288923</v>
      </c>
    </row>
    <row r="22" spans="1:13">
      <c r="A22" s="27">
        <v>8</v>
      </c>
      <c r="B22" s="29">
        <v>40700</v>
      </c>
      <c r="C22" s="102">
        <f t="shared" si="3"/>
        <v>35</v>
      </c>
      <c r="D22" s="82">
        <f t="shared" si="0"/>
        <v>46.670122700865591</v>
      </c>
      <c r="E22" s="83">
        <f t="shared" si="4"/>
        <v>326.62769285624518</v>
      </c>
      <c r="F22" s="83">
        <f t="shared" si="1"/>
        <v>373.29781555711077</v>
      </c>
      <c r="G22" s="48">
        <f t="shared" si="5"/>
        <v>2470.5143080987536</v>
      </c>
      <c r="H22" s="27"/>
      <c r="I22" s="48">
        <v>600</v>
      </c>
      <c r="J22" s="35">
        <f t="shared" si="2"/>
        <v>226.70218444288923</v>
      </c>
    </row>
    <row r="23" spans="1:13">
      <c r="A23" s="27">
        <v>9</v>
      </c>
      <c r="B23" s="29">
        <v>40728</v>
      </c>
      <c r="C23" s="102">
        <f t="shared" si="3"/>
        <v>28</v>
      </c>
      <c r="D23" s="82">
        <f t="shared" si="0"/>
        <v>32.976289613855144</v>
      </c>
      <c r="E23" s="83">
        <f t="shared" si="4"/>
        <v>340.32152594325561</v>
      </c>
      <c r="F23" s="83">
        <f t="shared" si="1"/>
        <v>373.29781555711077</v>
      </c>
      <c r="G23" s="48">
        <f t="shared" si="5"/>
        <v>2130.1927821554982</v>
      </c>
      <c r="H23" s="27"/>
      <c r="I23" s="48">
        <v>600</v>
      </c>
      <c r="J23" s="35">
        <f t="shared" si="2"/>
        <v>226.70218444288923</v>
      </c>
    </row>
    <row r="24" spans="1:13">
      <c r="A24" s="27">
        <v>10</v>
      </c>
      <c r="B24" s="29">
        <v>40756</v>
      </c>
      <c r="C24" s="102">
        <f t="shared" si="3"/>
        <v>28</v>
      </c>
      <c r="D24" s="82">
        <f t="shared" si="0"/>
        <v>28.433696533319413</v>
      </c>
      <c r="E24" s="83">
        <f t="shared" si="4"/>
        <v>344.86411902379137</v>
      </c>
      <c r="F24" s="83">
        <f t="shared" si="1"/>
        <v>373.29781555711077</v>
      </c>
      <c r="G24" s="48">
        <f t="shared" si="5"/>
        <v>1785.3286631317069</v>
      </c>
      <c r="H24" s="27"/>
      <c r="I24" s="48">
        <v>600</v>
      </c>
      <c r="J24" s="35">
        <f t="shared" si="2"/>
        <v>226.70218444288923</v>
      </c>
    </row>
    <row r="25" spans="1:13">
      <c r="A25" s="27">
        <v>11</v>
      </c>
      <c r="B25" s="29">
        <v>40791</v>
      </c>
      <c r="C25" s="102">
        <f t="shared" si="3"/>
        <v>35</v>
      </c>
      <c r="D25" s="82">
        <f t="shared" si="0"/>
        <v>29.788086461567378</v>
      </c>
      <c r="E25" s="83">
        <f t="shared" si="4"/>
        <v>343.50972909554338</v>
      </c>
      <c r="F25" s="83">
        <f t="shared" si="1"/>
        <v>373.29781555711077</v>
      </c>
      <c r="G25" s="48">
        <f t="shared" si="5"/>
        <v>1441.8189340361635</v>
      </c>
      <c r="H25" s="27"/>
      <c r="I25" s="48">
        <v>600</v>
      </c>
      <c r="J25" s="35">
        <f t="shared" si="2"/>
        <v>226.70218444288923</v>
      </c>
    </row>
    <row r="26" spans="1:13">
      <c r="A26" s="27">
        <v>12</v>
      </c>
      <c r="B26" s="29">
        <v>40819</v>
      </c>
      <c r="C26" s="102">
        <f t="shared" si="3"/>
        <v>28</v>
      </c>
      <c r="D26" s="82">
        <f t="shared" si="0"/>
        <v>19.2453201277375</v>
      </c>
      <c r="E26" s="83">
        <f t="shared" si="4"/>
        <v>354.05249542937327</v>
      </c>
      <c r="F26" s="83">
        <f t="shared" si="1"/>
        <v>373.29781555711077</v>
      </c>
      <c r="G26" s="48">
        <f t="shared" si="5"/>
        <v>1087.7664386067902</v>
      </c>
      <c r="H26" s="27"/>
      <c r="I26" s="48">
        <v>600</v>
      </c>
      <c r="J26" s="35">
        <f t="shared" si="2"/>
        <v>226.70218444288923</v>
      </c>
    </row>
    <row r="27" spans="1:13">
      <c r="A27" s="27">
        <v>13</v>
      </c>
      <c r="B27" s="29">
        <v>40854</v>
      </c>
      <c r="C27" s="102">
        <f t="shared" si="3"/>
        <v>35</v>
      </c>
      <c r="D27" s="82">
        <f t="shared" si="0"/>
        <v>18.149308523603704</v>
      </c>
      <c r="E27" s="83">
        <f t="shared" si="4"/>
        <v>355.14850703350709</v>
      </c>
      <c r="F27" s="83">
        <f t="shared" si="1"/>
        <v>373.29781555711077</v>
      </c>
      <c r="G27" s="48">
        <f t="shared" si="5"/>
        <v>732.61793157328316</v>
      </c>
      <c r="H27" s="27"/>
      <c r="I27" s="48">
        <v>600</v>
      </c>
      <c r="J27" s="35">
        <f t="shared" si="2"/>
        <v>226.70218444288923</v>
      </c>
    </row>
    <row r="28" spans="1:13">
      <c r="A28" s="27">
        <v>14</v>
      </c>
      <c r="B28" s="29">
        <v>40882</v>
      </c>
      <c r="C28" s="102">
        <f t="shared" si="3"/>
        <v>28</v>
      </c>
      <c r="D28" s="82">
        <f t="shared" si="0"/>
        <v>9.7789440071918783</v>
      </c>
      <c r="E28" s="83">
        <f t="shared" si="4"/>
        <v>363.51887154991891</v>
      </c>
      <c r="F28" s="83">
        <f t="shared" si="1"/>
        <v>373.29781555711077</v>
      </c>
      <c r="G28" s="48">
        <f t="shared" si="5"/>
        <v>369.09906002336425</v>
      </c>
      <c r="H28" s="27"/>
      <c r="I28" s="48">
        <v>600</v>
      </c>
      <c r="J28" s="35">
        <f t="shared" si="2"/>
        <v>226.70218444288923</v>
      </c>
    </row>
    <row r="29" spans="1:13">
      <c r="A29" s="27">
        <v>15</v>
      </c>
      <c r="B29" s="29">
        <v>40910</v>
      </c>
      <c r="C29" s="102">
        <f>B29-B28</f>
        <v>28</v>
      </c>
      <c r="D29" s="82">
        <f t="shared" si="0"/>
        <v>4.9267140285858373</v>
      </c>
      <c r="E29" s="83">
        <f t="shared" si="4"/>
        <v>369.07328597141418</v>
      </c>
      <c r="F29" s="83">
        <v>374</v>
      </c>
      <c r="G29" s="48">
        <f t="shared" si="5"/>
        <v>2.5774051950065768E-2</v>
      </c>
      <c r="H29" s="49">
        <f>F29+G29</f>
        <v>374.02577405195007</v>
      </c>
      <c r="I29" s="48">
        <v>600</v>
      </c>
      <c r="J29" s="35">
        <f t="shared" si="2"/>
        <v>226</v>
      </c>
    </row>
    <row r="30" spans="1:13">
      <c r="A30" s="27"/>
      <c r="B30" s="32" t="s">
        <v>5</v>
      </c>
      <c r="C30" s="50">
        <f>SUM(C15:C29)</f>
        <v>455</v>
      </c>
      <c r="D30" s="84">
        <f>SUM(D15:D29)</f>
        <v>600.19519185150068</v>
      </c>
      <c r="E30" s="52">
        <f t="shared" ref="E30:F30" si="6">SUM(E15:E29)</f>
        <v>4999.9742259480499</v>
      </c>
      <c r="F30" s="52">
        <f t="shared" si="6"/>
        <v>5600.1694177995514</v>
      </c>
      <c r="G30" s="48"/>
      <c r="H30" s="33"/>
      <c r="I30" s="27"/>
      <c r="J30" s="35">
        <f>SUM(J15:J29)</f>
        <v>3414.8305822004481</v>
      </c>
    </row>
    <row r="32" spans="1:13">
      <c r="B32" s="2" t="s">
        <v>10</v>
      </c>
      <c r="D32" s="1"/>
    </row>
    <row r="33" spans="1:15">
      <c r="B33" s="2"/>
      <c r="D33" s="1"/>
      <c r="H33" s="25"/>
    </row>
    <row r="34" spans="1:15">
      <c r="B34" t="s">
        <v>6</v>
      </c>
      <c r="C34" s="4">
        <f>K27</f>
        <v>0</v>
      </c>
      <c r="D34" s="1"/>
    </row>
    <row r="35" spans="1:15">
      <c r="B35" t="s">
        <v>16</v>
      </c>
      <c r="C35" s="4">
        <v>15</v>
      </c>
      <c r="D35" s="1"/>
    </row>
    <row r="36" spans="1:15">
      <c r="B36" s="24" t="s">
        <v>12</v>
      </c>
      <c r="C36" s="40">
        <v>40546</v>
      </c>
      <c r="D36" s="1"/>
    </row>
    <row r="37" spans="1:15">
      <c r="C37" s="21"/>
      <c r="D37" s="1"/>
    </row>
    <row r="38" spans="1:15">
      <c r="C38" s="3"/>
      <c r="D38" s="1"/>
      <c r="G38" t="s">
        <v>14</v>
      </c>
    </row>
    <row r="39" spans="1:15">
      <c r="A39" s="32" t="s">
        <v>13</v>
      </c>
      <c r="B39" s="32" t="s">
        <v>9</v>
      </c>
      <c r="C39" s="41" t="s">
        <v>11</v>
      </c>
      <c r="D39" s="54" t="s">
        <v>2</v>
      </c>
      <c r="E39" s="41" t="s">
        <v>3</v>
      </c>
      <c r="F39" s="41" t="s">
        <v>22</v>
      </c>
      <c r="G39" s="42">
        <f>M15</f>
        <v>5000</v>
      </c>
      <c r="H39" s="56" t="s">
        <v>26</v>
      </c>
      <c r="I39" s="44" t="s">
        <v>30</v>
      </c>
      <c r="J39" s="45" t="s">
        <v>35</v>
      </c>
      <c r="L39" s="36" t="s">
        <v>17</v>
      </c>
      <c r="M39" s="26">
        <f>M42/100/12</f>
        <v>1.4458333333333335E-2</v>
      </c>
      <c r="N39" t="s">
        <v>23</v>
      </c>
    </row>
    <row r="40" spans="1:15">
      <c r="A40" s="27">
        <v>1</v>
      </c>
      <c r="B40" s="29">
        <v>40581</v>
      </c>
      <c r="C40" s="46">
        <f>B40-C36</f>
        <v>35</v>
      </c>
      <c r="D40" s="48">
        <f>$M$43*G39*C40</f>
        <v>83.184931506849324</v>
      </c>
      <c r="E40" s="48">
        <f>F40-D40</f>
        <v>289.99435723960346</v>
      </c>
      <c r="F40" s="48">
        <f>$O$41</f>
        <v>373.17928874645281</v>
      </c>
      <c r="G40" s="48">
        <f>G39-E40</f>
        <v>4710.0056427603968</v>
      </c>
      <c r="H40" s="48"/>
      <c r="I40" s="48">
        <v>610</v>
      </c>
      <c r="J40" s="35">
        <f>I40-F40</f>
        <v>236.82071125354719</v>
      </c>
      <c r="L40" s="37" t="s">
        <v>18</v>
      </c>
      <c r="M40" s="26">
        <v>5000</v>
      </c>
    </row>
    <row r="41" spans="1:15">
      <c r="A41" s="27">
        <v>2</v>
      </c>
      <c r="B41" s="29">
        <v>40609</v>
      </c>
      <c r="C41" s="46">
        <f>B41-B40</f>
        <v>28</v>
      </c>
      <c r="D41" s="48">
        <f t="shared" ref="D41:D54" si="7">$M$43*G40*C41</f>
        <v>62.688239486383587</v>
      </c>
      <c r="E41" s="48">
        <f>F41-D41</f>
        <v>310.49104926006925</v>
      </c>
      <c r="F41" s="48">
        <f t="shared" ref="F41:F53" si="8">$O$41</f>
        <v>373.17928874645281</v>
      </c>
      <c r="G41" s="48">
        <f>G40-E41</f>
        <v>4399.5145935003275</v>
      </c>
      <c r="H41" s="48"/>
      <c r="I41" s="48">
        <v>605</v>
      </c>
      <c r="J41" s="35">
        <f t="shared" ref="J41:J54" si="9">I41-F41</f>
        <v>231.82071125354719</v>
      </c>
      <c r="L41" s="37" t="s">
        <v>19</v>
      </c>
      <c r="M41" s="26">
        <v>15</v>
      </c>
      <c r="N41" t="s">
        <v>24</v>
      </c>
      <c r="O41" s="24">
        <f>(M39*M40)/(1-(1+M39)^-M41)</f>
        <v>373.17928874645281</v>
      </c>
    </row>
    <row r="42" spans="1:15">
      <c r="A42" s="27">
        <v>3</v>
      </c>
      <c r="B42" s="29">
        <v>40637</v>
      </c>
      <c r="C42" s="46">
        <f t="shared" ref="C42:C53" si="10">B42-B41</f>
        <v>28</v>
      </c>
      <c r="D42" s="48">
        <f t="shared" si="7"/>
        <v>58.555731219793408</v>
      </c>
      <c r="E42" s="48">
        <f t="shared" ref="E42:E54" si="11">F42-D42</f>
        <v>314.6235575266594</v>
      </c>
      <c r="F42" s="48">
        <f t="shared" si="8"/>
        <v>373.17928874645281</v>
      </c>
      <c r="G42" s="48">
        <f t="shared" ref="G42:G54" si="12">G41-E42</f>
        <v>4084.8910359736683</v>
      </c>
      <c r="H42" s="48"/>
      <c r="I42" s="48">
        <v>600</v>
      </c>
      <c r="J42" s="35">
        <f t="shared" si="9"/>
        <v>226.82071125354719</v>
      </c>
      <c r="L42" s="37" t="s">
        <v>20</v>
      </c>
      <c r="M42" s="26">
        <v>17.350000000000001</v>
      </c>
    </row>
    <row r="43" spans="1:15">
      <c r="A43" s="27">
        <v>4</v>
      </c>
      <c r="B43" s="29">
        <v>40665</v>
      </c>
      <c r="C43" s="46">
        <f>B43-B42</f>
        <v>28</v>
      </c>
      <c r="D43" s="48">
        <f t="shared" si="7"/>
        <v>54.368220966465984</v>
      </c>
      <c r="E43" s="48">
        <f t="shared" si="11"/>
        <v>318.81106777998684</v>
      </c>
      <c r="F43" s="48">
        <f t="shared" si="8"/>
        <v>373.17928874645281</v>
      </c>
      <c r="G43" s="48">
        <f t="shared" si="12"/>
        <v>3766.0799681936815</v>
      </c>
      <c r="H43" s="48"/>
      <c r="I43" s="48">
        <v>600</v>
      </c>
      <c r="J43" s="35">
        <f t="shared" si="9"/>
        <v>226.82071125354719</v>
      </c>
      <c r="L43" s="37" t="s">
        <v>25</v>
      </c>
      <c r="M43" s="26">
        <f>M42/36500</f>
        <v>4.7534246575342472E-4</v>
      </c>
    </row>
    <row r="44" spans="1:15">
      <c r="A44" s="27">
        <v>5</v>
      </c>
      <c r="B44" s="29">
        <v>40700</v>
      </c>
      <c r="C44" s="46">
        <f>B44-B43</f>
        <v>35</v>
      </c>
      <c r="D44" s="48">
        <f t="shared" si="7"/>
        <v>62.656220840701742</v>
      </c>
      <c r="E44" s="48">
        <f t="shared" si="11"/>
        <v>310.52306790575108</v>
      </c>
      <c r="F44" s="48">
        <f t="shared" si="8"/>
        <v>373.17928874645281</v>
      </c>
      <c r="G44" s="48">
        <f t="shared" si="12"/>
        <v>3455.5569002879301</v>
      </c>
      <c r="H44" s="48"/>
      <c r="I44" s="48">
        <v>600</v>
      </c>
      <c r="J44" s="35">
        <f t="shared" si="9"/>
        <v>226.82071125354719</v>
      </c>
    </row>
    <row r="45" spans="1:15">
      <c r="A45" s="27">
        <v>6</v>
      </c>
      <c r="B45" s="29">
        <v>40728</v>
      </c>
      <c r="C45" s="46">
        <f>B45-B44</f>
        <v>28</v>
      </c>
      <c r="D45" s="48">
        <f t="shared" si="7"/>
        <v>45.992042250955528</v>
      </c>
      <c r="E45" s="48">
        <f t="shared" si="11"/>
        <v>327.18724649549728</v>
      </c>
      <c r="F45" s="48">
        <f t="shared" si="8"/>
        <v>373.17928874645281</v>
      </c>
      <c r="G45" s="48">
        <f t="shared" si="12"/>
        <v>3128.3696537924329</v>
      </c>
      <c r="H45" s="48"/>
      <c r="I45" s="48">
        <v>600</v>
      </c>
      <c r="J45" s="35">
        <f t="shared" si="9"/>
        <v>226.82071125354719</v>
      </c>
    </row>
    <row r="46" spans="1:15">
      <c r="A46" s="27">
        <v>7</v>
      </c>
      <c r="B46" s="29">
        <v>40756</v>
      </c>
      <c r="C46" s="46">
        <f t="shared" si="10"/>
        <v>28</v>
      </c>
      <c r="D46" s="48">
        <f t="shared" si="7"/>
        <v>41.637314460612714</v>
      </c>
      <c r="E46" s="48">
        <f t="shared" si="11"/>
        <v>331.54197428584007</v>
      </c>
      <c r="F46" s="48">
        <f t="shared" si="8"/>
        <v>373.17928874645281</v>
      </c>
      <c r="G46" s="48">
        <f t="shared" si="12"/>
        <v>2796.8276795065931</v>
      </c>
      <c r="H46" s="48"/>
      <c r="I46" s="48">
        <v>600</v>
      </c>
      <c r="J46" s="35">
        <f t="shared" si="9"/>
        <v>226.82071125354719</v>
      </c>
    </row>
    <row r="47" spans="1:15">
      <c r="A47" s="27">
        <v>8</v>
      </c>
      <c r="B47" s="29">
        <v>40791</v>
      </c>
      <c r="C47" s="46">
        <f t="shared" si="10"/>
        <v>35</v>
      </c>
      <c r="D47" s="48">
        <f t="shared" si="7"/>
        <v>46.530783791243259</v>
      </c>
      <c r="E47" s="48">
        <f t="shared" si="11"/>
        <v>326.64850495520955</v>
      </c>
      <c r="F47" s="48">
        <f t="shared" si="8"/>
        <v>373.17928874645281</v>
      </c>
      <c r="G47" s="48">
        <f t="shared" si="12"/>
        <v>2470.1791745513838</v>
      </c>
      <c r="H47" s="48"/>
      <c r="I47" s="48">
        <v>600</v>
      </c>
      <c r="J47" s="35">
        <f t="shared" si="9"/>
        <v>226.82071125354719</v>
      </c>
    </row>
    <row r="48" spans="1:15">
      <c r="A48" s="27">
        <v>9</v>
      </c>
      <c r="B48" s="29">
        <v>40819</v>
      </c>
      <c r="C48" s="46">
        <f t="shared" si="10"/>
        <v>28</v>
      </c>
      <c r="D48" s="48">
        <f t="shared" si="7"/>
        <v>32.877069671152398</v>
      </c>
      <c r="E48" s="48">
        <f t="shared" si="11"/>
        <v>340.3022190753004</v>
      </c>
      <c r="F48" s="48">
        <f t="shared" si="8"/>
        <v>373.17928874645281</v>
      </c>
      <c r="G48" s="48">
        <f t="shared" si="12"/>
        <v>2129.8769554760834</v>
      </c>
      <c r="H48" s="48"/>
      <c r="I48" s="48">
        <v>600</v>
      </c>
      <c r="J48" s="35">
        <f t="shared" si="9"/>
        <v>226.82071125354719</v>
      </c>
    </row>
    <row r="49" spans="1:14">
      <c r="A49" s="27">
        <v>10</v>
      </c>
      <c r="B49" s="29">
        <v>40854</v>
      </c>
      <c r="C49" s="46">
        <f t="shared" si="10"/>
        <v>35</v>
      </c>
      <c r="D49" s="48">
        <f t="shared" si="7"/>
        <v>35.434733731858955</v>
      </c>
      <c r="E49" s="48">
        <f t="shared" si="11"/>
        <v>337.74455501459386</v>
      </c>
      <c r="F49" s="48">
        <f t="shared" si="8"/>
        <v>373.17928874645281</v>
      </c>
      <c r="G49" s="48">
        <f t="shared" si="12"/>
        <v>1792.1324004614894</v>
      </c>
      <c r="H49" s="48"/>
      <c r="I49" s="48">
        <v>600</v>
      </c>
      <c r="J49" s="35">
        <f t="shared" si="9"/>
        <v>226.82071125354719</v>
      </c>
    </row>
    <row r="50" spans="1:14">
      <c r="A50" s="27">
        <v>11</v>
      </c>
      <c r="B50" s="29">
        <v>40882</v>
      </c>
      <c r="C50" s="46">
        <f t="shared" si="10"/>
        <v>28</v>
      </c>
      <c r="D50" s="48">
        <f t="shared" si="7"/>
        <v>23.852545757375115</v>
      </c>
      <c r="E50" s="48">
        <f t="shared" si="11"/>
        <v>349.32674298907767</v>
      </c>
      <c r="F50" s="48">
        <f t="shared" si="8"/>
        <v>373.17928874645281</v>
      </c>
      <c r="G50" s="48">
        <f t="shared" si="12"/>
        <v>1442.8056574724117</v>
      </c>
      <c r="H50" s="48"/>
      <c r="I50" s="48">
        <v>600</v>
      </c>
      <c r="J50" s="35">
        <f t="shared" si="9"/>
        <v>226.82071125354719</v>
      </c>
    </row>
    <row r="51" spans="1:14">
      <c r="A51" s="27">
        <v>12</v>
      </c>
      <c r="B51" s="29">
        <v>40910</v>
      </c>
      <c r="C51" s="46">
        <f t="shared" si="10"/>
        <v>28</v>
      </c>
      <c r="D51" s="48">
        <f t="shared" si="7"/>
        <v>19.203150367125964</v>
      </c>
      <c r="E51" s="48">
        <f t="shared" si="11"/>
        <v>353.97613837932687</v>
      </c>
      <c r="F51" s="48">
        <f t="shared" si="8"/>
        <v>373.17928874645281</v>
      </c>
      <c r="G51" s="48">
        <f t="shared" si="12"/>
        <v>1088.8295190930849</v>
      </c>
      <c r="H51" s="48"/>
      <c r="I51" s="48">
        <v>600</v>
      </c>
      <c r="J51" s="35">
        <f t="shared" si="9"/>
        <v>226.82071125354719</v>
      </c>
    </row>
    <row r="52" spans="1:14">
      <c r="A52" s="27">
        <v>13</v>
      </c>
      <c r="B52" s="29">
        <v>40945</v>
      </c>
      <c r="C52" s="46">
        <f t="shared" si="10"/>
        <v>35</v>
      </c>
      <c r="D52" s="48">
        <f t="shared" si="7"/>
        <v>18.114841793678792</v>
      </c>
      <c r="E52" s="48">
        <f t="shared" si="11"/>
        <v>355.06444695277401</v>
      </c>
      <c r="F52" s="48">
        <f t="shared" si="8"/>
        <v>373.17928874645281</v>
      </c>
      <c r="G52" s="48">
        <f t="shared" si="12"/>
        <v>733.76507214031085</v>
      </c>
      <c r="H52" s="48"/>
      <c r="I52" s="48">
        <v>600</v>
      </c>
      <c r="J52" s="35">
        <f t="shared" si="9"/>
        <v>226.82071125354719</v>
      </c>
    </row>
    <row r="53" spans="1:14">
      <c r="A53" s="27">
        <v>14</v>
      </c>
      <c r="B53" s="29">
        <v>40973</v>
      </c>
      <c r="C53" s="46">
        <f t="shared" si="10"/>
        <v>28</v>
      </c>
      <c r="D53" s="48">
        <f t="shared" si="7"/>
        <v>9.7661115628976187</v>
      </c>
      <c r="E53" s="48">
        <f t="shared" si="11"/>
        <v>363.41317718355521</v>
      </c>
      <c r="F53" s="48">
        <f t="shared" si="8"/>
        <v>373.17928874645281</v>
      </c>
      <c r="G53" s="48">
        <f t="shared" si="12"/>
        <v>370.35189495675564</v>
      </c>
      <c r="H53" s="48"/>
      <c r="I53" s="48">
        <v>600</v>
      </c>
      <c r="J53" s="35">
        <f t="shared" si="9"/>
        <v>226.82071125354719</v>
      </c>
    </row>
    <row r="54" spans="1:14">
      <c r="A54" s="27">
        <v>15</v>
      </c>
      <c r="B54" s="29">
        <v>41001</v>
      </c>
      <c r="C54" s="46">
        <f>B54-B53</f>
        <v>28</v>
      </c>
      <c r="D54" s="48">
        <f t="shared" si="7"/>
        <v>4.9292315224655319</v>
      </c>
      <c r="E54" s="48">
        <f t="shared" si="11"/>
        <v>370.07076847753444</v>
      </c>
      <c r="F54" s="48">
        <v>375</v>
      </c>
      <c r="G54" s="48">
        <f t="shared" si="12"/>
        <v>0.28112647922120004</v>
      </c>
      <c r="H54" s="48">
        <f>F54+G54</f>
        <v>375.2811264792212</v>
      </c>
      <c r="I54" s="48">
        <v>600</v>
      </c>
      <c r="J54" s="35">
        <f t="shared" si="9"/>
        <v>225</v>
      </c>
    </row>
    <row r="55" spans="1:14" s="2" customFormat="1">
      <c r="A55" s="32"/>
      <c r="B55" s="32" t="s">
        <v>5</v>
      </c>
      <c r="C55" s="50">
        <f>SUM(C40:C54)</f>
        <v>455</v>
      </c>
      <c r="D55" s="53">
        <f>SUM(D40:D54)</f>
        <v>599.79116892956006</v>
      </c>
      <c r="E55" s="53">
        <f>SUM(E40:E54)</f>
        <v>4999.7188735207801</v>
      </c>
      <c r="F55" s="53">
        <f t="shared" ref="F55" si="13">SUM(F40:F54)</f>
        <v>5599.510042450338</v>
      </c>
      <c r="G55" s="53"/>
      <c r="H55" s="53"/>
      <c r="I55" s="27"/>
      <c r="J55" s="35">
        <f>SUM(J40:J54)</f>
        <v>3415.489957549662</v>
      </c>
    </row>
    <row r="57" spans="1:14">
      <c r="B57" s="2" t="s">
        <v>27</v>
      </c>
      <c r="D57" s="1"/>
    </row>
    <row r="58" spans="1:14">
      <c r="B58" s="2"/>
      <c r="D58" s="1"/>
      <c r="H58" s="25"/>
    </row>
    <row r="59" spans="1:14">
      <c r="B59" t="s">
        <v>6</v>
      </c>
      <c r="C59" s="4">
        <f>K52</f>
        <v>0</v>
      </c>
      <c r="D59" s="1"/>
    </row>
    <row r="60" spans="1:14">
      <c r="B60" t="s">
        <v>16</v>
      </c>
      <c r="C60" s="4">
        <v>15</v>
      </c>
      <c r="D60" s="1"/>
    </row>
    <row r="61" spans="1:14">
      <c r="B61" s="24" t="s">
        <v>12</v>
      </c>
      <c r="C61" s="40">
        <v>40609</v>
      </c>
      <c r="D61" s="1"/>
    </row>
    <row r="62" spans="1:14">
      <c r="C62" s="21"/>
      <c r="D62" s="1"/>
    </row>
    <row r="63" spans="1:14">
      <c r="C63" s="3"/>
      <c r="D63" s="1"/>
      <c r="G63" t="s">
        <v>14</v>
      </c>
    </row>
    <row r="64" spans="1:14">
      <c r="A64" s="32" t="s">
        <v>13</v>
      </c>
      <c r="B64" s="32" t="s">
        <v>9</v>
      </c>
      <c r="C64" s="41" t="s">
        <v>11</v>
      </c>
      <c r="D64" s="54" t="s">
        <v>2</v>
      </c>
      <c r="E64" s="41" t="s">
        <v>3</v>
      </c>
      <c r="F64" s="41" t="s">
        <v>22</v>
      </c>
      <c r="G64" s="42">
        <f>M15</f>
        <v>5000</v>
      </c>
      <c r="H64" s="55" t="s">
        <v>26</v>
      </c>
      <c r="I64" s="44" t="s">
        <v>30</v>
      </c>
      <c r="J64" s="45" t="s">
        <v>35</v>
      </c>
      <c r="L64" s="36" t="s">
        <v>17</v>
      </c>
      <c r="M64" s="26">
        <f>M67/100/12</f>
        <v>1.4625000000000001E-2</v>
      </c>
      <c r="N64" t="s">
        <v>23</v>
      </c>
    </row>
    <row r="65" spans="1:15">
      <c r="A65" s="27">
        <v>1</v>
      </c>
      <c r="B65" s="29">
        <v>40637</v>
      </c>
      <c r="C65" s="46">
        <f>B65-C61</f>
        <v>28</v>
      </c>
      <c r="D65" s="48">
        <f>$M$68*G64*C65</f>
        <v>67.31506849315069</v>
      </c>
      <c r="E65" s="48">
        <f>F65-D65</f>
        <v>305.98274706396006</v>
      </c>
      <c r="F65" s="48">
        <f t="shared" ref="F65:F78" si="14">$O$16</f>
        <v>373.29781555711077</v>
      </c>
      <c r="G65" s="48">
        <f>G64-E65</f>
        <v>4694.0172529360398</v>
      </c>
      <c r="H65" s="48"/>
      <c r="I65" s="48">
        <v>610</v>
      </c>
      <c r="J65" s="35">
        <f>I65-F65</f>
        <v>236.70218444288923</v>
      </c>
      <c r="L65" s="37" t="s">
        <v>18</v>
      </c>
      <c r="M65" s="26">
        <v>5000</v>
      </c>
    </row>
    <row r="66" spans="1:15">
      <c r="A66" s="27">
        <v>2</v>
      </c>
      <c r="B66" s="29">
        <v>40665</v>
      </c>
      <c r="C66" s="46">
        <f t="shared" ref="C66:C79" si="15">B66-B65</f>
        <v>28</v>
      </c>
      <c r="D66" s="48">
        <f t="shared" ref="D66:D79" si="16">$M$68*G65*C66</f>
        <v>63.195618577884105</v>
      </c>
      <c r="E66" s="48">
        <f>F66-D66</f>
        <v>310.10219697922668</v>
      </c>
      <c r="F66" s="48">
        <f t="shared" si="14"/>
        <v>373.29781555711077</v>
      </c>
      <c r="G66" s="48">
        <f>G65-E66</f>
        <v>4383.9150559568134</v>
      </c>
      <c r="H66" s="48"/>
      <c r="I66" s="48">
        <v>605</v>
      </c>
      <c r="J66" s="35">
        <f t="shared" ref="J66:J79" si="17">I66-F66</f>
        <v>231.70218444288923</v>
      </c>
      <c r="L66" s="37" t="s">
        <v>19</v>
      </c>
      <c r="M66" s="26">
        <v>15</v>
      </c>
      <c r="N66" t="s">
        <v>24</v>
      </c>
      <c r="O66" s="24">
        <f>(M64*M65)/(1-(1+M64)^-M66)</f>
        <v>373.65352225285392</v>
      </c>
    </row>
    <row r="67" spans="1:15">
      <c r="A67" s="27">
        <v>3</v>
      </c>
      <c r="B67" s="29">
        <v>40700</v>
      </c>
      <c r="C67" s="46">
        <f t="shared" si="15"/>
        <v>35</v>
      </c>
      <c r="D67" s="48">
        <f t="shared" si="16"/>
        <v>73.775885564971858</v>
      </c>
      <c r="E67" s="48">
        <f t="shared" ref="E67:E79" si="18">F67-D67</f>
        <v>299.52192999213889</v>
      </c>
      <c r="F67" s="48">
        <f t="shared" si="14"/>
        <v>373.29781555711077</v>
      </c>
      <c r="G67" s="48">
        <f t="shared" ref="G67:G79" si="19">G66-E67</f>
        <v>4084.3931259646743</v>
      </c>
      <c r="H67" s="48"/>
      <c r="I67" s="48">
        <v>600</v>
      </c>
      <c r="J67" s="35">
        <f t="shared" si="17"/>
        <v>226.70218444288923</v>
      </c>
      <c r="L67" s="37" t="s">
        <v>20</v>
      </c>
      <c r="M67" s="26">
        <v>17.55</v>
      </c>
    </row>
    <row r="68" spans="1:15">
      <c r="A68" s="27">
        <v>4</v>
      </c>
      <c r="B68" s="29">
        <v>40728</v>
      </c>
      <c r="C68" s="46">
        <f t="shared" si="15"/>
        <v>28</v>
      </c>
      <c r="D68" s="48">
        <f t="shared" si="16"/>
        <v>54.988240605453178</v>
      </c>
      <c r="E68" s="48">
        <f t="shared" si="18"/>
        <v>318.30957495165757</v>
      </c>
      <c r="F68" s="48">
        <f t="shared" si="14"/>
        <v>373.29781555711077</v>
      </c>
      <c r="G68" s="48">
        <f t="shared" si="19"/>
        <v>3766.0835510130169</v>
      </c>
      <c r="H68" s="48"/>
      <c r="I68" s="48">
        <v>600</v>
      </c>
      <c r="J68" s="35">
        <f t="shared" si="17"/>
        <v>226.70218444288923</v>
      </c>
      <c r="L68" s="37" t="s">
        <v>25</v>
      </c>
      <c r="M68" s="26">
        <f>M67/36500</f>
        <v>4.8082191780821922E-4</v>
      </c>
    </row>
    <row r="69" spans="1:15">
      <c r="A69" s="27">
        <v>5</v>
      </c>
      <c r="B69" s="29">
        <v>40756</v>
      </c>
      <c r="C69" s="46">
        <f t="shared" si="15"/>
        <v>28</v>
      </c>
      <c r="D69" s="48">
        <f t="shared" si="16"/>
        <v>50.702834437473875</v>
      </c>
      <c r="E69" s="48">
        <f t="shared" si="18"/>
        <v>322.59498111963688</v>
      </c>
      <c r="F69" s="48">
        <f t="shared" si="14"/>
        <v>373.29781555711077</v>
      </c>
      <c r="G69" s="48">
        <f t="shared" si="19"/>
        <v>3443.4885698933799</v>
      </c>
      <c r="H69" s="48"/>
      <c r="I69" s="48">
        <v>600</v>
      </c>
      <c r="J69" s="35">
        <f t="shared" si="17"/>
        <v>226.70218444288923</v>
      </c>
    </row>
    <row r="70" spans="1:15">
      <c r="A70" s="27">
        <v>6</v>
      </c>
      <c r="B70" s="29">
        <v>40791</v>
      </c>
      <c r="C70" s="46">
        <f t="shared" si="15"/>
        <v>35</v>
      </c>
      <c r="D70" s="48">
        <f t="shared" si="16"/>
        <v>57.9496672344386</v>
      </c>
      <c r="E70" s="48">
        <f t="shared" si="18"/>
        <v>315.34814832267216</v>
      </c>
      <c r="F70" s="48">
        <f t="shared" si="14"/>
        <v>373.29781555711077</v>
      </c>
      <c r="G70" s="48">
        <f t="shared" si="19"/>
        <v>3128.140421570708</v>
      </c>
      <c r="H70" s="48"/>
      <c r="I70" s="48">
        <v>600</v>
      </c>
      <c r="J70" s="35">
        <f t="shared" si="17"/>
        <v>226.70218444288923</v>
      </c>
    </row>
    <row r="71" spans="1:15">
      <c r="A71" s="27">
        <v>7</v>
      </c>
      <c r="B71" s="29">
        <v>40819</v>
      </c>
      <c r="C71" s="46">
        <f t="shared" si="15"/>
        <v>28</v>
      </c>
      <c r="D71" s="48">
        <f t="shared" si="16"/>
        <v>42.114197346845096</v>
      </c>
      <c r="E71" s="48">
        <f t="shared" si="18"/>
        <v>331.18361821026565</v>
      </c>
      <c r="F71" s="48">
        <f t="shared" si="14"/>
        <v>373.29781555711077</v>
      </c>
      <c r="G71" s="48">
        <f t="shared" si="19"/>
        <v>2796.9568033604423</v>
      </c>
      <c r="H71" s="48"/>
      <c r="I71" s="48">
        <v>600</v>
      </c>
      <c r="J71" s="35">
        <f t="shared" si="17"/>
        <v>226.70218444288923</v>
      </c>
    </row>
    <row r="72" spans="1:15">
      <c r="A72" s="27">
        <v>8</v>
      </c>
      <c r="B72" s="29">
        <v>40854</v>
      </c>
      <c r="C72" s="46">
        <f t="shared" si="15"/>
        <v>35</v>
      </c>
      <c r="D72" s="48">
        <f t="shared" si="16"/>
        <v>47.069334697648003</v>
      </c>
      <c r="E72" s="48">
        <f t="shared" si="18"/>
        <v>326.22848085946276</v>
      </c>
      <c r="F72" s="48">
        <f t="shared" si="14"/>
        <v>373.29781555711077</v>
      </c>
      <c r="G72" s="48">
        <f t="shared" si="19"/>
        <v>2470.7283225009796</v>
      </c>
      <c r="H72" s="48"/>
      <c r="I72" s="48">
        <v>600</v>
      </c>
      <c r="J72" s="35">
        <f t="shared" si="17"/>
        <v>226.70218444288923</v>
      </c>
    </row>
    <row r="73" spans="1:15">
      <c r="A73" s="27">
        <v>9</v>
      </c>
      <c r="B73" s="29">
        <v>40882</v>
      </c>
      <c r="C73" s="46">
        <f t="shared" si="15"/>
        <v>28</v>
      </c>
      <c r="D73" s="48">
        <f t="shared" si="16"/>
        <v>33.263449251424149</v>
      </c>
      <c r="E73" s="48">
        <f t="shared" si="18"/>
        <v>340.0343663056866</v>
      </c>
      <c r="F73" s="48">
        <f t="shared" si="14"/>
        <v>373.29781555711077</v>
      </c>
      <c r="G73" s="48">
        <f t="shared" si="19"/>
        <v>2130.6939561952931</v>
      </c>
      <c r="H73" s="48"/>
      <c r="I73" s="48">
        <v>600</v>
      </c>
      <c r="J73" s="35">
        <f t="shared" si="17"/>
        <v>226.70218444288923</v>
      </c>
    </row>
    <row r="74" spans="1:15">
      <c r="A74" s="27">
        <v>10</v>
      </c>
      <c r="B74" s="29">
        <v>40910</v>
      </c>
      <c r="C74" s="46">
        <f t="shared" si="15"/>
        <v>28</v>
      </c>
      <c r="D74" s="48">
        <f t="shared" si="16"/>
        <v>28.685561919845675</v>
      </c>
      <c r="E74" s="48">
        <f t="shared" si="18"/>
        <v>344.6122536372651</v>
      </c>
      <c r="F74" s="48">
        <f t="shared" si="14"/>
        <v>373.29781555711077</v>
      </c>
      <c r="G74" s="48">
        <f t="shared" si="19"/>
        <v>1786.0817025580282</v>
      </c>
      <c r="H74" s="48"/>
      <c r="I74" s="48">
        <v>600</v>
      </c>
      <c r="J74" s="35">
        <f t="shared" si="17"/>
        <v>226.70218444288923</v>
      </c>
    </row>
    <row r="75" spans="1:15">
      <c r="A75" s="27">
        <v>11</v>
      </c>
      <c r="B75" s="29">
        <v>40945</v>
      </c>
      <c r="C75" s="46">
        <f t="shared" si="15"/>
        <v>35</v>
      </c>
      <c r="D75" s="48">
        <f t="shared" si="16"/>
        <v>30.057553035514214</v>
      </c>
      <c r="E75" s="48">
        <f t="shared" si="18"/>
        <v>343.24026252159655</v>
      </c>
      <c r="F75" s="48">
        <f t="shared" si="14"/>
        <v>373.29781555711077</v>
      </c>
      <c r="G75" s="48">
        <f t="shared" si="19"/>
        <v>1442.8414400364315</v>
      </c>
      <c r="H75" s="48"/>
      <c r="I75" s="48">
        <v>600</v>
      </c>
      <c r="J75" s="35">
        <f t="shared" si="17"/>
        <v>226.70218444288923</v>
      </c>
    </row>
    <row r="76" spans="1:15">
      <c r="A76" s="27">
        <v>12</v>
      </c>
      <c r="B76" s="29">
        <v>40973</v>
      </c>
      <c r="C76" s="46">
        <f t="shared" si="15"/>
        <v>28</v>
      </c>
      <c r="D76" s="48">
        <f t="shared" si="16"/>
        <v>19.424994072161713</v>
      </c>
      <c r="E76" s="48">
        <f t="shared" si="18"/>
        <v>353.87282148494904</v>
      </c>
      <c r="F76" s="48">
        <f t="shared" si="14"/>
        <v>373.29781555711077</v>
      </c>
      <c r="G76" s="48">
        <f t="shared" si="19"/>
        <v>1088.9686185514825</v>
      </c>
      <c r="H76" s="48"/>
      <c r="I76" s="48">
        <v>600</v>
      </c>
      <c r="J76" s="35">
        <f t="shared" si="17"/>
        <v>226.70218444288923</v>
      </c>
    </row>
    <row r="77" spans="1:15">
      <c r="A77" s="27">
        <v>13</v>
      </c>
      <c r="B77" s="29">
        <v>41001</v>
      </c>
      <c r="C77" s="46">
        <f t="shared" si="15"/>
        <v>28</v>
      </c>
      <c r="D77" s="48">
        <f t="shared" si="16"/>
        <v>14.660799428936945</v>
      </c>
      <c r="E77" s="48">
        <f t="shared" si="18"/>
        <v>358.6370161281738</v>
      </c>
      <c r="F77" s="48">
        <f t="shared" si="14"/>
        <v>373.29781555711077</v>
      </c>
      <c r="G77" s="48">
        <f t="shared" si="19"/>
        <v>730.3316024233086</v>
      </c>
      <c r="H77" s="48"/>
      <c r="I77" s="48">
        <v>600</v>
      </c>
      <c r="J77" s="35">
        <f t="shared" si="17"/>
        <v>226.70218444288923</v>
      </c>
    </row>
    <row r="78" spans="1:15">
      <c r="A78" s="27">
        <v>14</v>
      </c>
      <c r="B78" s="29">
        <v>41036</v>
      </c>
      <c r="C78" s="46">
        <f t="shared" si="15"/>
        <v>35</v>
      </c>
      <c r="D78" s="48">
        <f t="shared" si="16"/>
        <v>12.290580459959379</v>
      </c>
      <c r="E78" s="48">
        <f t="shared" si="18"/>
        <v>361.00723509715141</v>
      </c>
      <c r="F78" s="48">
        <f t="shared" si="14"/>
        <v>373.29781555711077</v>
      </c>
      <c r="G78" s="48">
        <f t="shared" si="19"/>
        <v>369.32436732615719</v>
      </c>
      <c r="H78" s="48"/>
      <c r="I78" s="48">
        <v>600</v>
      </c>
      <c r="J78" s="35">
        <f t="shared" si="17"/>
        <v>226.70218444288923</v>
      </c>
    </row>
    <row r="79" spans="1:15">
      <c r="A79" s="27">
        <v>15</v>
      </c>
      <c r="B79" s="29">
        <v>41064</v>
      </c>
      <c r="C79" s="46">
        <f t="shared" si="15"/>
        <v>28</v>
      </c>
      <c r="D79" s="48">
        <f t="shared" si="16"/>
        <v>4.9722190165499631</v>
      </c>
      <c r="E79" s="48">
        <f t="shared" si="18"/>
        <v>369.02778098345004</v>
      </c>
      <c r="F79" s="48">
        <v>374</v>
      </c>
      <c r="G79" s="48">
        <f t="shared" si="19"/>
        <v>0.29658634270714401</v>
      </c>
      <c r="H79" s="48">
        <f>F79+G79</f>
        <v>374.29658634270714</v>
      </c>
      <c r="I79" s="48">
        <v>600</v>
      </c>
      <c r="J79" s="35">
        <f t="shared" si="17"/>
        <v>226</v>
      </c>
    </row>
    <row r="80" spans="1:15" s="2" customFormat="1">
      <c r="A80" s="32"/>
      <c r="B80" s="32" t="s">
        <v>5</v>
      </c>
      <c r="C80" s="50">
        <f>SUM(C65:C79)</f>
        <v>455</v>
      </c>
      <c r="D80" s="53">
        <f>SUM(D65:D79)</f>
        <v>600.46600414225747</v>
      </c>
      <c r="E80" s="53">
        <f t="shared" ref="E80" si="20">SUM(E65:E79)</f>
        <v>4999.703413657292</v>
      </c>
      <c r="F80" s="53"/>
      <c r="G80" s="53"/>
      <c r="H80" s="53"/>
      <c r="I80" s="27"/>
      <c r="J80" s="35">
        <f>SUM(J65:J79)</f>
        <v>3414.8305822004481</v>
      </c>
    </row>
    <row r="84" spans="1:15">
      <c r="B84" s="2" t="s">
        <v>34</v>
      </c>
      <c r="D84" s="1"/>
    </row>
    <row r="85" spans="1:15">
      <c r="B85" s="2"/>
      <c r="D85" s="1"/>
      <c r="H85" s="25"/>
    </row>
    <row r="86" spans="1:15">
      <c r="B86" t="s">
        <v>6</v>
      </c>
      <c r="C86" s="4">
        <v>5000</v>
      </c>
      <c r="D86" s="1"/>
    </row>
    <row r="87" spans="1:15">
      <c r="B87" t="s">
        <v>16</v>
      </c>
      <c r="C87" s="4">
        <v>15</v>
      </c>
      <c r="D87" s="1"/>
    </row>
    <row r="88" spans="1:15">
      <c r="B88" s="24" t="s">
        <v>12</v>
      </c>
      <c r="C88" s="40">
        <v>40728</v>
      </c>
      <c r="D88" s="1"/>
    </row>
    <row r="89" spans="1:15">
      <c r="C89" s="21"/>
      <c r="D89" s="1"/>
    </row>
    <row r="90" spans="1:15">
      <c r="C90" s="3"/>
      <c r="D90" s="1"/>
      <c r="G90" t="s">
        <v>14</v>
      </c>
    </row>
    <row r="91" spans="1:15">
      <c r="A91" s="32" t="s">
        <v>13</v>
      </c>
      <c r="B91" s="32" t="s">
        <v>9</v>
      </c>
      <c r="C91" s="41" t="s">
        <v>11</v>
      </c>
      <c r="D91" s="54" t="s">
        <v>2</v>
      </c>
      <c r="E91" s="41" t="s">
        <v>3</v>
      </c>
      <c r="F91" s="41" t="s">
        <v>22</v>
      </c>
      <c r="G91" s="42">
        <f>M15</f>
        <v>5000</v>
      </c>
      <c r="H91" s="55" t="s">
        <v>26</v>
      </c>
      <c r="I91" s="44" t="s">
        <v>30</v>
      </c>
      <c r="J91" s="45" t="s">
        <v>35</v>
      </c>
      <c r="L91" s="36" t="s">
        <v>17</v>
      </c>
      <c r="M91" s="26">
        <f>M94/100/12</f>
        <v>1.4433333333333333E-2</v>
      </c>
      <c r="N91" t="s">
        <v>23</v>
      </c>
    </row>
    <row r="92" spans="1:15">
      <c r="A92" s="27">
        <v>1</v>
      </c>
      <c r="B92" s="29">
        <v>40756</v>
      </c>
      <c r="C92" s="46">
        <f>B92-C88</f>
        <v>28</v>
      </c>
      <c r="D92" s="48">
        <f>$M$95*G91*C92</f>
        <v>66.432876712328763</v>
      </c>
      <c r="E92" s="48">
        <f>F92-D92</f>
        <v>306.86493884478199</v>
      </c>
      <c r="F92" s="48">
        <f t="shared" ref="F92:F105" si="21">$O$16</f>
        <v>373.29781555711077</v>
      </c>
      <c r="G92" s="48">
        <f>G91-E92</f>
        <v>4693.135061155218</v>
      </c>
      <c r="H92" s="48"/>
      <c r="I92" s="48">
        <v>610</v>
      </c>
      <c r="J92" s="35">
        <f>I92-F92</f>
        <v>236.70218444288923</v>
      </c>
      <c r="L92" s="37" t="s">
        <v>18</v>
      </c>
      <c r="M92" s="26">
        <v>5000</v>
      </c>
    </row>
    <row r="93" spans="1:15">
      <c r="A93" s="27">
        <v>2</v>
      </c>
      <c r="B93" s="29">
        <v>40791</v>
      </c>
      <c r="C93" s="46">
        <f t="shared" ref="C93:C106" si="22">B93-B92</f>
        <v>35</v>
      </c>
      <c r="D93" s="48">
        <f t="shared" ref="D93:D106" si="23">$M$95*G92*C93</f>
        <v>77.944615728008017</v>
      </c>
      <c r="E93" s="48">
        <f>F93-D93</f>
        <v>295.35319982910278</v>
      </c>
      <c r="F93" s="48">
        <f t="shared" si="21"/>
        <v>373.29781555711077</v>
      </c>
      <c r="G93" s="48">
        <f>G92-E93</f>
        <v>4397.7818613261152</v>
      </c>
      <c r="H93" s="48"/>
      <c r="I93" s="48">
        <v>605</v>
      </c>
      <c r="J93" s="35">
        <f t="shared" ref="J93:J106" si="24">I93-F93</f>
        <v>231.70218444288923</v>
      </c>
      <c r="L93" s="37" t="s">
        <v>19</v>
      </c>
      <c r="M93" s="26">
        <v>15</v>
      </c>
      <c r="N93" t="s">
        <v>24</v>
      </c>
      <c r="O93" s="24">
        <f>(M91*M92)/(1-(1+M91)^-M93)</f>
        <v>373.10818276252172</v>
      </c>
    </row>
    <row r="94" spans="1:15">
      <c r="A94" s="27">
        <v>3</v>
      </c>
      <c r="B94" s="29">
        <v>40819</v>
      </c>
      <c r="C94" s="46">
        <f t="shared" si="22"/>
        <v>28</v>
      </c>
      <c r="D94" s="48">
        <f t="shared" si="23"/>
        <v>58.431460040238704</v>
      </c>
      <c r="E94" s="48">
        <f t="shared" ref="E94:E106" si="25">F94-D94</f>
        <v>314.86635551687209</v>
      </c>
      <c r="F94" s="48">
        <f t="shared" si="21"/>
        <v>373.29781555711077</v>
      </c>
      <c r="G94" s="48">
        <f t="shared" ref="G94:G106" si="26">G93-E94</f>
        <v>4082.9155058092429</v>
      </c>
      <c r="H94" s="48"/>
      <c r="I94" s="48">
        <v>600</v>
      </c>
      <c r="J94" s="35">
        <f t="shared" si="24"/>
        <v>226.70218444288923</v>
      </c>
      <c r="L94" s="37" t="s">
        <v>20</v>
      </c>
      <c r="M94" s="26">
        <v>17.32</v>
      </c>
    </row>
    <row r="95" spans="1:15">
      <c r="A95" s="27">
        <v>4</v>
      </c>
      <c r="B95" s="29">
        <v>40854</v>
      </c>
      <c r="C95" s="46">
        <f t="shared" si="22"/>
        <v>35</v>
      </c>
      <c r="D95" s="48">
        <f t="shared" si="23"/>
        <v>67.809955606070218</v>
      </c>
      <c r="E95" s="48">
        <f t="shared" si="25"/>
        <v>305.48785995104055</v>
      </c>
      <c r="F95" s="48">
        <f t="shared" si="21"/>
        <v>373.29781555711077</v>
      </c>
      <c r="G95" s="48">
        <f t="shared" si="26"/>
        <v>3777.4276458582021</v>
      </c>
      <c r="H95" s="48"/>
      <c r="I95" s="48">
        <v>600</v>
      </c>
      <c r="J95" s="35">
        <f t="shared" si="24"/>
        <v>226.70218444288923</v>
      </c>
      <c r="L95" s="37" t="s">
        <v>25</v>
      </c>
      <c r="M95" s="26">
        <f>M94/36500</f>
        <v>4.7452054794520546E-4</v>
      </c>
    </row>
    <row r="96" spans="1:15">
      <c r="A96" s="27">
        <v>5</v>
      </c>
      <c r="B96" s="29">
        <v>40882</v>
      </c>
      <c r="C96" s="46">
        <f t="shared" si="22"/>
        <v>28</v>
      </c>
      <c r="D96" s="48">
        <f t="shared" si="23"/>
        <v>50.189077017408046</v>
      </c>
      <c r="E96" s="48">
        <f t="shared" si="25"/>
        <v>323.1087385397027</v>
      </c>
      <c r="F96" s="48">
        <f t="shared" si="21"/>
        <v>373.29781555711077</v>
      </c>
      <c r="G96" s="48">
        <f t="shared" si="26"/>
        <v>3454.3189073184994</v>
      </c>
      <c r="H96" s="48"/>
      <c r="I96" s="48">
        <v>600</v>
      </c>
      <c r="J96" s="35">
        <f t="shared" si="24"/>
        <v>226.70218444288923</v>
      </c>
    </row>
    <row r="97" spans="1:10">
      <c r="A97" s="27">
        <v>6</v>
      </c>
      <c r="B97" s="29">
        <v>40910</v>
      </c>
      <c r="C97" s="46">
        <f t="shared" si="22"/>
        <v>28</v>
      </c>
      <c r="D97" s="48">
        <f t="shared" si="23"/>
        <v>45.896068418991213</v>
      </c>
      <c r="E97" s="48">
        <f t="shared" si="25"/>
        <v>327.40174713811956</v>
      </c>
      <c r="F97" s="48">
        <f t="shared" si="21"/>
        <v>373.29781555711077</v>
      </c>
      <c r="G97" s="48">
        <f t="shared" si="26"/>
        <v>3126.9171601803801</v>
      </c>
      <c r="H97" s="48"/>
      <c r="I97" s="48">
        <v>600</v>
      </c>
      <c r="J97" s="35">
        <f t="shared" si="24"/>
        <v>226.70218444288923</v>
      </c>
    </row>
    <row r="98" spans="1:10">
      <c r="A98" s="27">
        <v>7</v>
      </c>
      <c r="B98" s="29">
        <v>40945</v>
      </c>
      <c r="C98" s="46">
        <f t="shared" si="22"/>
        <v>35</v>
      </c>
      <c r="D98" s="48">
        <f t="shared" si="23"/>
        <v>51.932525547982088</v>
      </c>
      <c r="E98" s="48">
        <f t="shared" si="25"/>
        <v>321.36529000912867</v>
      </c>
      <c r="F98" s="48">
        <f t="shared" si="21"/>
        <v>373.29781555711077</v>
      </c>
      <c r="G98" s="48">
        <f t="shared" si="26"/>
        <v>2805.5518701712513</v>
      </c>
      <c r="H98" s="48"/>
      <c r="I98" s="48">
        <v>600</v>
      </c>
      <c r="J98" s="35">
        <f t="shared" si="24"/>
        <v>226.70218444288923</v>
      </c>
    </row>
    <row r="99" spans="1:10">
      <c r="A99" s="27">
        <v>8</v>
      </c>
      <c r="B99" s="29">
        <v>40973</v>
      </c>
      <c r="C99" s="46">
        <f t="shared" si="22"/>
        <v>28</v>
      </c>
      <c r="D99" s="48">
        <f t="shared" si="23"/>
        <v>37.276176300226027</v>
      </c>
      <c r="E99" s="48">
        <f t="shared" si="25"/>
        <v>336.02163925688473</v>
      </c>
      <c r="F99" s="48">
        <f t="shared" si="21"/>
        <v>373.29781555711077</v>
      </c>
      <c r="G99" s="48">
        <f t="shared" si="26"/>
        <v>2469.5302309143667</v>
      </c>
      <c r="H99" s="48"/>
      <c r="I99" s="48">
        <v>600</v>
      </c>
      <c r="J99" s="35">
        <f t="shared" si="24"/>
        <v>226.70218444288923</v>
      </c>
    </row>
    <row r="100" spans="1:10">
      <c r="A100" s="27">
        <v>9</v>
      </c>
      <c r="B100" s="29">
        <v>41001</v>
      </c>
      <c r="C100" s="46">
        <f t="shared" si="22"/>
        <v>28</v>
      </c>
      <c r="D100" s="48">
        <f t="shared" si="23"/>
        <v>32.811599473540582</v>
      </c>
      <c r="E100" s="48">
        <f t="shared" si="25"/>
        <v>340.48621608357018</v>
      </c>
      <c r="F100" s="48">
        <f t="shared" si="21"/>
        <v>373.29781555711077</v>
      </c>
      <c r="G100" s="48">
        <f t="shared" si="26"/>
        <v>2129.0440148307966</v>
      </c>
      <c r="H100" s="48"/>
      <c r="I100" s="48">
        <v>600</v>
      </c>
      <c r="J100" s="35">
        <f t="shared" si="24"/>
        <v>226.70218444288923</v>
      </c>
    </row>
    <row r="101" spans="1:10">
      <c r="A101" s="27">
        <v>10</v>
      </c>
      <c r="B101" s="29">
        <v>41036</v>
      </c>
      <c r="C101" s="46">
        <f t="shared" si="22"/>
        <v>35</v>
      </c>
      <c r="D101" s="48">
        <f t="shared" si="23"/>
        <v>35.359629638093949</v>
      </c>
      <c r="E101" s="48">
        <f t="shared" si="25"/>
        <v>337.9381859190168</v>
      </c>
      <c r="F101" s="48">
        <f t="shared" si="21"/>
        <v>373.29781555711077</v>
      </c>
      <c r="G101" s="48">
        <f t="shared" si="26"/>
        <v>1791.1058289117798</v>
      </c>
      <c r="H101" s="48"/>
      <c r="I101" s="48">
        <v>600</v>
      </c>
      <c r="J101" s="35">
        <f t="shared" si="24"/>
        <v>226.70218444288923</v>
      </c>
    </row>
    <row r="102" spans="1:10">
      <c r="A102" s="27">
        <v>11</v>
      </c>
      <c r="B102" s="29">
        <v>41064</v>
      </c>
      <c r="C102" s="46">
        <f t="shared" si="22"/>
        <v>28</v>
      </c>
      <c r="D102" s="48">
        <f t="shared" si="23"/>
        <v>23.797662542165938</v>
      </c>
      <c r="E102" s="48">
        <f t="shared" si="25"/>
        <v>349.50015301494483</v>
      </c>
      <c r="F102" s="48">
        <f t="shared" si="21"/>
        <v>373.29781555711077</v>
      </c>
      <c r="G102" s="48">
        <f t="shared" si="26"/>
        <v>1441.605675896835</v>
      </c>
      <c r="H102" s="48"/>
      <c r="I102" s="48">
        <v>600</v>
      </c>
      <c r="J102" s="35">
        <f t="shared" si="24"/>
        <v>226.70218444288923</v>
      </c>
    </row>
    <row r="103" spans="1:10">
      <c r="A103" s="27">
        <v>12</v>
      </c>
      <c r="B103" s="29">
        <v>41092</v>
      </c>
      <c r="C103" s="46">
        <f t="shared" si="22"/>
        <v>28</v>
      </c>
      <c r="D103" s="48">
        <f t="shared" si="23"/>
        <v>19.154002426929566</v>
      </c>
      <c r="E103" s="48">
        <f t="shared" si="25"/>
        <v>354.14381313018123</v>
      </c>
      <c r="F103" s="48">
        <f t="shared" si="21"/>
        <v>373.29781555711077</v>
      </c>
      <c r="G103" s="48">
        <f t="shared" si="26"/>
        <v>1087.4618627666537</v>
      </c>
      <c r="H103" s="48"/>
      <c r="I103" s="48">
        <v>600</v>
      </c>
      <c r="J103" s="35">
        <f t="shared" si="24"/>
        <v>226.70218444288923</v>
      </c>
    </row>
    <row r="104" spans="1:10">
      <c r="A104" s="27">
        <v>13</v>
      </c>
      <c r="B104" s="29">
        <v>41127</v>
      </c>
      <c r="C104" s="46">
        <f t="shared" si="22"/>
        <v>35</v>
      </c>
      <c r="D104" s="48">
        <f t="shared" si="23"/>
        <v>18.060804964634119</v>
      </c>
      <c r="E104" s="48">
        <f t="shared" si="25"/>
        <v>355.23701059247662</v>
      </c>
      <c r="F104" s="48">
        <f t="shared" si="21"/>
        <v>373.29781555711077</v>
      </c>
      <c r="G104" s="48">
        <f t="shared" si="26"/>
        <v>732.22485217417704</v>
      </c>
      <c r="H104" s="48"/>
      <c r="I104" s="48">
        <v>600</v>
      </c>
      <c r="J104" s="35">
        <f t="shared" si="24"/>
        <v>226.70218444288923</v>
      </c>
    </row>
    <row r="105" spans="1:10">
      <c r="A105" s="27">
        <v>14</v>
      </c>
      <c r="B105" s="29">
        <v>41155</v>
      </c>
      <c r="C105" s="46">
        <f t="shared" si="22"/>
        <v>28</v>
      </c>
      <c r="D105" s="48">
        <f t="shared" si="23"/>
        <v>9.7287606660380526</v>
      </c>
      <c r="E105" s="48">
        <f t="shared" si="25"/>
        <v>363.56905489107271</v>
      </c>
      <c r="F105" s="48">
        <f t="shared" si="21"/>
        <v>373.29781555711077</v>
      </c>
      <c r="G105" s="48">
        <f t="shared" si="26"/>
        <v>368.65579728310433</v>
      </c>
      <c r="H105" s="48"/>
      <c r="I105" s="48">
        <v>600</v>
      </c>
      <c r="J105" s="35">
        <f t="shared" si="24"/>
        <v>226.70218444288923</v>
      </c>
    </row>
    <row r="106" spans="1:10">
      <c r="A106" s="27">
        <v>15</v>
      </c>
      <c r="B106" s="29">
        <v>41183</v>
      </c>
      <c r="C106" s="46">
        <f t="shared" si="22"/>
        <v>28</v>
      </c>
      <c r="D106" s="48">
        <f t="shared" si="23"/>
        <v>4.898173026038747</v>
      </c>
      <c r="E106" s="48">
        <f t="shared" si="25"/>
        <v>369.10182697396124</v>
      </c>
      <c r="F106" s="48">
        <v>374</v>
      </c>
      <c r="G106" s="48">
        <f t="shared" si="26"/>
        <v>-0.44602969085690347</v>
      </c>
      <c r="H106" s="48">
        <f>F106+G106</f>
        <v>373.5539703091431</v>
      </c>
      <c r="I106" s="48">
        <v>600</v>
      </c>
      <c r="J106" s="35">
        <f t="shared" si="24"/>
        <v>226</v>
      </c>
    </row>
    <row r="107" spans="1:10">
      <c r="A107" s="27"/>
      <c r="B107" s="32" t="s">
        <v>5</v>
      </c>
      <c r="C107" s="50">
        <f>SUM(C92:C106)</f>
        <v>455</v>
      </c>
      <c r="D107" s="53">
        <f>SUM(D92:D106)</f>
        <v>599.72338810869405</v>
      </c>
      <c r="E107" s="53">
        <f t="shared" ref="E107:F107" si="27">SUM(E92:E106)</f>
        <v>5000.4460296908564</v>
      </c>
      <c r="F107" s="53">
        <f t="shared" si="27"/>
        <v>5600.1694177995514</v>
      </c>
      <c r="G107" s="48"/>
      <c r="H107" s="48"/>
      <c r="I107" s="27"/>
      <c r="J107" s="35">
        <f>SUM(J92:J106)</f>
        <v>3414.8305822004481</v>
      </c>
    </row>
    <row r="109" spans="1:10">
      <c r="B109" s="22"/>
      <c r="D109" s="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O137"/>
  <sheetViews>
    <sheetView workbookViewId="0">
      <pane ySplit="6" topLeftCell="A17" activePane="bottomLeft" state="frozen"/>
      <selection pane="bottomLeft" activeCell="E35" sqref="E35"/>
    </sheetView>
  </sheetViews>
  <sheetFormatPr defaultRowHeight="15"/>
  <cols>
    <col min="2" max="2" width="15.7109375" bestFit="1" customWidth="1"/>
    <col min="3" max="3" width="11" bestFit="1" customWidth="1"/>
    <col min="4" max="4" width="16" bestFit="1" customWidth="1"/>
    <col min="5" max="5" width="16.7109375" bestFit="1" customWidth="1"/>
    <col min="6" max="6" width="11" bestFit="1" customWidth="1"/>
    <col min="7" max="7" width="12.5703125" customWidth="1"/>
    <col min="8" max="8" width="16" bestFit="1" customWidth="1"/>
    <col min="9" max="9" width="14.85546875" bestFit="1" customWidth="1"/>
    <col min="10" max="10" width="14.85546875" customWidth="1"/>
    <col min="12" max="12" width="10.7109375" bestFit="1" customWidth="1"/>
    <col min="13" max="13" width="17.85546875" customWidth="1"/>
    <col min="14" max="14" width="15.5703125" bestFit="1" customWidth="1"/>
  </cols>
  <sheetData>
    <row r="1" spans="1:15">
      <c r="B1" s="32" t="s">
        <v>39</v>
      </c>
      <c r="C1" s="33" t="s">
        <v>29</v>
      </c>
      <c r="D1" s="76" t="s">
        <v>40</v>
      </c>
      <c r="E1" s="76" t="s">
        <v>41</v>
      </c>
      <c r="F1" s="76" t="s">
        <v>43</v>
      </c>
      <c r="G1" s="34"/>
      <c r="H1" t="s">
        <v>15</v>
      </c>
    </row>
    <row r="2" spans="1:15">
      <c r="B2" s="29">
        <v>40455</v>
      </c>
      <c r="C2" s="81">
        <f>M17</f>
        <v>17.16</v>
      </c>
      <c r="D2" s="28">
        <f>D36</f>
        <v>1575</v>
      </c>
      <c r="E2" s="31">
        <f>F15</f>
        <v>578</v>
      </c>
      <c r="F2" s="31">
        <f>'Pawdep scenario'!C5</f>
        <v>1575</v>
      </c>
      <c r="G2" s="34"/>
    </row>
    <row r="3" spans="1:15">
      <c r="B3" s="29">
        <v>40546</v>
      </c>
      <c r="C3" s="81">
        <f>M49</f>
        <v>17.154</v>
      </c>
      <c r="D3" s="28">
        <f>D68</f>
        <v>1575</v>
      </c>
      <c r="E3" s="31">
        <f>F47</f>
        <v>578</v>
      </c>
      <c r="F3" s="31"/>
      <c r="G3" s="34"/>
      <c r="H3" s="4"/>
    </row>
    <row r="4" spans="1:15">
      <c r="B4" s="29">
        <v>40609</v>
      </c>
      <c r="C4" s="81">
        <f>M81</f>
        <v>17.329999999999998</v>
      </c>
      <c r="D4" s="28">
        <f>D100</f>
        <v>1575</v>
      </c>
      <c r="E4" s="31">
        <f>F79</f>
        <v>579</v>
      </c>
      <c r="F4" s="31"/>
      <c r="G4" s="34"/>
      <c r="H4" s="4"/>
      <c r="I4" s="23"/>
    </row>
    <row r="5" spans="1:15">
      <c r="B5" s="29">
        <v>40728</v>
      </c>
      <c r="C5" s="81">
        <f>M115</f>
        <v>17.11712</v>
      </c>
      <c r="D5" s="28">
        <f>D134</f>
        <v>1576</v>
      </c>
      <c r="E5" s="31">
        <f>F113</f>
        <v>578</v>
      </c>
      <c r="F5" s="31"/>
      <c r="G5" s="34"/>
    </row>
    <row r="6" spans="1:15">
      <c r="C6" s="3"/>
      <c r="D6" s="34"/>
      <c r="E6" s="34"/>
      <c r="F6" s="34"/>
      <c r="G6" s="34"/>
      <c r="J6" s="38"/>
    </row>
    <row r="7" spans="1:15">
      <c r="B7" s="2" t="s">
        <v>7</v>
      </c>
      <c r="D7" s="34"/>
      <c r="E7" s="34"/>
      <c r="F7" s="34"/>
      <c r="G7" s="34"/>
      <c r="J7" s="38"/>
    </row>
    <row r="8" spans="1:15">
      <c r="B8" s="2"/>
      <c r="D8" s="34"/>
      <c r="E8" s="34"/>
      <c r="F8" s="34"/>
      <c r="G8" s="34"/>
      <c r="H8" s="25"/>
      <c r="J8" s="38"/>
    </row>
    <row r="9" spans="1:15">
      <c r="B9" t="s">
        <v>6</v>
      </c>
      <c r="C9" s="4">
        <f>M15</f>
        <v>10000</v>
      </c>
      <c r="D9" s="34"/>
      <c r="E9" s="34"/>
      <c r="F9" s="34"/>
      <c r="G9" s="34"/>
      <c r="J9" s="38"/>
    </row>
    <row r="10" spans="1:15">
      <c r="B10" t="s">
        <v>16</v>
      </c>
      <c r="C10" s="4">
        <f>M16</f>
        <v>20</v>
      </c>
      <c r="D10" s="34"/>
      <c r="E10" s="34"/>
      <c r="F10" s="34"/>
      <c r="G10" s="34"/>
      <c r="J10" s="38"/>
    </row>
    <row r="11" spans="1:15">
      <c r="B11" s="24" t="s">
        <v>12</v>
      </c>
      <c r="C11" s="40">
        <v>40455</v>
      </c>
      <c r="D11" s="34"/>
      <c r="E11" s="34"/>
      <c r="F11" s="34"/>
      <c r="G11" s="34"/>
      <c r="J11" s="38"/>
    </row>
    <row r="12" spans="1:15">
      <c r="C12" s="21"/>
      <c r="D12" s="34"/>
      <c r="E12" s="34"/>
      <c r="F12" s="34"/>
      <c r="G12" s="34"/>
      <c r="J12" s="38"/>
    </row>
    <row r="13" spans="1:15">
      <c r="C13" s="3"/>
      <c r="D13" s="34"/>
      <c r="E13" s="34"/>
      <c r="F13" s="34"/>
      <c r="G13" s="34" t="s">
        <v>14</v>
      </c>
      <c r="J13" s="38"/>
    </row>
    <row r="14" spans="1:15">
      <c r="A14" s="32" t="s">
        <v>13</v>
      </c>
      <c r="B14" s="32" t="s">
        <v>9</v>
      </c>
      <c r="C14" s="41" t="s">
        <v>11</v>
      </c>
      <c r="D14" s="42" t="s">
        <v>2</v>
      </c>
      <c r="E14" s="42" t="s">
        <v>3</v>
      </c>
      <c r="F14" s="42" t="s">
        <v>22</v>
      </c>
      <c r="G14" s="42">
        <f>M15</f>
        <v>10000</v>
      </c>
      <c r="H14" s="43" t="s">
        <v>31</v>
      </c>
      <c r="I14" s="44"/>
      <c r="J14" s="45"/>
      <c r="L14" s="36" t="s">
        <v>17</v>
      </c>
      <c r="M14" s="26">
        <f>M17/100/12</f>
        <v>1.43E-2</v>
      </c>
      <c r="N14" t="s">
        <v>23</v>
      </c>
    </row>
    <row r="15" spans="1:15">
      <c r="A15" s="27">
        <v>1</v>
      </c>
      <c r="B15" s="29">
        <v>40483</v>
      </c>
      <c r="C15" s="46">
        <f>B15-C11</f>
        <v>28</v>
      </c>
      <c r="D15" s="28">
        <f>ROUND($M$18*G14*C15,0)</f>
        <v>132</v>
      </c>
      <c r="E15" s="46">
        <f>F15-D15</f>
        <v>446</v>
      </c>
      <c r="F15" s="46">
        <f t="shared" ref="F15:F33" si="0">$O$16</f>
        <v>578</v>
      </c>
      <c r="G15" s="46">
        <f>G14-E15</f>
        <v>9554</v>
      </c>
      <c r="H15" s="27"/>
      <c r="I15" s="48"/>
      <c r="J15" s="35"/>
      <c r="L15" s="37" t="s">
        <v>18</v>
      </c>
      <c r="M15" s="26">
        <v>10000</v>
      </c>
    </row>
    <row r="16" spans="1:15">
      <c r="A16" s="27">
        <v>2</v>
      </c>
      <c r="B16" s="29">
        <v>40518</v>
      </c>
      <c r="C16" s="46">
        <f>B16-B15</f>
        <v>35</v>
      </c>
      <c r="D16" s="28">
        <f t="shared" ref="D16:D34" si="1">ROUND($M$18*G15*C16,0)</f>
        <v>157</v>
      </c>
      <c r="E16" s="46">
        <f>F16-D16</f>
        <v>421</v>
      </c>
      <c r="F16" s="46">
        <f t="shared" si="0"/>
        <v>578</v>
      </c>
      <c r="G16" s="46">
        <f>G15-E16</f>
        <v>9133</v>
      </c>
      <c r="H16" s="27"/>
      <c r="I16" s="48"/>
      <c r="J16" s="35"/>
      <c r="L16" s="37" t="s">
        <v>19</v>
      </c>
      <c r="M16" s="26">
        <v>20</v>
      </c>
      <c r="N16" t="s">
        <v>24</v>
      </c>
      <c r="O16" s="24">
        <f>ROUND((M14*M15)/(1-(1+M14)^-M16),0)</f>
        <v>578</v>
      </c>
    </row>
    <row r="17" spans="1:13">
      <c r="A17" s="27">
        <v>3</v>
      </c>
      <c r="B17" s="29">
        <v>40546</v>
      </c>
      <c r="C17" s="46">
        <f t="shared" ref="C17:C28" si="2">B17-B16</f>
        <v>28</v>
      </c>
      <c r="D17" s="28">
        <f t="shared" si="1"/>
        <v>120</v>
      </c>
      <c r="E17" s="46">
        <f t="shared" ref="E17:E34" si="3">F17-D17</f>
        <v>458</v>
      </c>
      <c r="F17" s="46">
        <f t="shared" si="0"/>
        <v>578</v>
      </c>
      <c r="G17" s="46">
        <f t="shared" ref="G17:G34" si="4">G16-E17</f>
        <v>8675</v>
      </c>
      <c r="H17" s="27"/>
      <c r="I17" s="48"/>
      <c r="J17" s="35"/>
      <c r="L17" s="37" t="s">
        <v>20</v>
      </c>
      <c r="M17" s="26">
        <v>17.16</v>
      </c>
    </row>
    <row r="18" spans="1:13">
      <c r="A18" s="27">
        <v>4</v>
      </c>
      <c r="B18" s="29">
        <v>40581</v>
      </c>
      <c r="C18" s="46">
        <f>B18-B17</f>
        <v>35</v>
      </c>
      <c r="D18" s="28">
        <f t="shared" si="1"/>
        <v>143</v>
      </c>
      <c r="E18" s="46">
        <f t="shared" si="3"/>
        <v>435</v>
      </c>
      <c r="F18" s="46">
        <f t="shared" si="0"/>
        <v>578</v>
      </c>
      <c r="G18" s="46">
        <f t="shared" si="4"/>
        <v>8240</v>
      </c>
      <c r="H18" s="27"/>
      <c r="I18" s="48"/>
      <c r="J18" s="35"/>
      <c r="L18" s="37" t="s">
        <v>25</v>
      </c>
      <c r="M18" s="26">
        <f>M17/36500</f>
        <v>4.7013698630136985E-4</v>
      </c>
    </row>
    <row r="19" spans="1:13">
      <c r="A19" s="27">
        <v>5</v>
      </c>
      <c r="B19" s="29">
        <v>40609</v>
      </c>
      <c r="C19" s="46">
        <f>B19-B18</f>
        <v>28</v>
      </c>
      <c r="D19" s="28">
        <f t="shared" si="1"/>
        <v>108</v>
      </c>
      <c r="E19" s="46">
        <f t="shared" si="3"/>
        <v>470</v>
      </c>
      <c r="F19" s="46">
        <f t="shared" si="0"/>
        <v>578</v>
      </c>
      <c r="G19" s="46">
        <f t="shared" si="4"/>
        <v>7770</v>
      </c>
      <c r="H19" s="27"/>
      <c r="I19" s="48"/>
      <c r="J19" s="35"/>
    </row>
    <row r="20" spans="1:13">
      <c r="A20" s="27">
        <v>6</v>
      </c>
      <c r="B20" s="29">
        <v>40637</v>
      </c>
      <c r="C20" s="46">
        <f>B20-B19</f>
        <v>28</v>
      </c>
      <c r="D20" s="28">
        <f t="shared" si="1"/>
        <v>102</v>
      </c>
      <c r="E20" s="46">
        <f t="shared" si="3"/>
        <v>476</v>
      </c>
      <c r="F20" s="46">
        <f t="shared" si="0"/>
        <v>578</v>
      </c>
      <c r="G20" s="46">
        <f t="shared" si="4"/>
        <v>7294</v>
      </c>
      <c r="H20" s="27"/>
      <c r="I20" s="48"/>
      <c r="J20" s="35"/>
    </row>
    <row r="21" spans="1:13">
      <c r="A21" s="27">
        <v>7</v>
      </c>
      <c r="B21" s="29">
        <v>40665</v>
      </c>
      <c r="C21" s="46">
        <f t="shared" si="2"/>
        <v>28</v>
      </c>
      <c r="D21" s="28">
        <f t="shared" si="1"/>
        <v>96</v>
      </c>
      <c r="E21" s="46">
        <f t="shared" si="3"/>
        <v>482</v>
      </c>
      <c r="F21" s="46">
        <f t="shared" si="0"/>
        <v>578</v>
      </c>
      <c r="G21" s="46">
        <f t="shared" si="4"/>
        <v>6812</v>
      </c>
      <c r="H21" s="27"/>
      <c r="I21" s="48"/>
      <c r="J21" s="35"/>
    </row>
    <row r="22" spans="1:13">
      <c r="A22" s="27">
        <v>8</v>
      </c>
      <c r="B22" s="29">
        <v>40700</v>
      </c>
      <c r="C22" s="46">
        <f t="shared" si="2"/>
        <v>35</v>
      </c>
      <c r="D22" s="28">
        <f t="shared" si="1"/>
        <v>112</v>
      </c>
      <c r="E22" s="46">
        <f t="shared" si="3"/>
        <v>466</v>
      </c>
      <c r="F22" s="46">
        <f t="shared" si="0"/>
        <v>578</v>
      </c>
      <c r="G22" s="46">
        <f t="shared" si="4"/>
        <v>6346</v>
      </c>
      <c r="H22" s="27"/>
      <c r="I22" s="48"/>
      <c r="J22" s="35"/>
    </row>
    <row r="23" spans="1:13">
      <c r="A23" s="27">
        <v>9</v>
      </c>
      <c r="B23" s="29">
        <v>40728</v>
      </c>
      <c r="C23" s="46">
        <f t="shared" si="2"/>
        <v>28</v>
      </c>
      <c r="D23" s="28">
        <f t="shared" si="1"/>
        <v>84</v>
      </c>
      <c r="E23" s="46">
        <f t="shared" si="3"/>
        <v>494</v>
      </c>
      <c r="F23" s="46">
        <f t="shared" si="0"/>
        <v>578</v>
      </c>
      <c r="G23" s="46">
        <f t="shared" si="4"/>
        <v>5852</v>
      </c>
      <c r="H23" s="27"/>
      <c r="I23" s="48"/>
      <c r="J23" s="35"/>
    </row>
    <row r="24" spans="1:13">
      <c r="A24" s="27">
        <v>10</v>
      </c>
      <c r="B24" s="29">
        <v>40756</v>
      </c>
      <c r="C24" s="46">
        <f t="shared" si="2"/>
        <v>28</v>
      </c>
      <c r="D24" s="28">
        <f t="shared" si="1"/>
        <v>77</v>
      </c>
      <c r="E24" s="46">
        <f t="shared" si="3"/>
        <v>501</v>
      </c>
      <c r="F24" s="46">
        <f t="shared" si="0"/>
        <v>578</v>
      </c>
      <c r="G24" s="46">
        <f t="shared" si="4"/>
        <v>5351</v>
      </c>
      <c r="H24" s="27"/>
      <c r="I24" s="48"/>
      <c r="J24" s="35"/>
    </row>
    <row r="25" spans="1:13">
      <c r="A25" s="27">
        <v>11</v>
      </c>
      <c r="B25" s="29">
        <v>40791</v>
      </c>
      <c r="C25" s="46">
        <f t="shared" si="2"/>
        <v>35</v>
      </c>
      <c r="D25" s="28">
        <f t="shared" si="1"/>
        <v>88</v>
      </c>
      <c r="E25" s="46">
        <f t="shared" si="3"/>
        <v>490</v>
      </c>
      <c r="F25" s="46">
        <f t="shared" si="0"/>
        <v>578</v>
      </c>
      <c r="G25" s="46">
        <f t="shared" si="4"/>
        <v>4861</v>
      </c>
      <c r="H25" s="27"/>
      <c r="I25" s="48"/>
      <c r="J25" s="35"/>
    </row>
    <row r="26" spans="1:13">
      <c r="A26" s="27">
        <v>12</v>
      </c>
      <c r="B26" s="29">
        <v>40819</v>
      </c>
      <c r="C26" s="46">
        <f t="shared" si="2"/>
        <v>28</v>
      </c>
      <c r="D26" s="28">
        <f t="shared" si="1"/>
        <v>64</v>
      </c>
      <c r="E26" s="46">
        <f t="shared" si="3"/>
        <v>514</v>
      </c>
      <c r="F26" s="46">
        <f t="shared" si="0"/>
        <v>578</v>
      </c>
      <c r="G26" s="46">
        <f t="shared" si="4"/>
        <v>4347</v>
      </c>
      <c r="H26" s="27"/>
      <c r="I26" s="48"/>
      <c r="J26" s="35"/>
    </row>
    <row r="27" spans="1:13">
      <c r="A27" s="27">
        <v>13</v>
      </c>
      <c r="B27" s="29">
        <v>40854</v>
      </c>
      <c r="C27" s="46">
        <f t="shared" si="2"/>
        <v>35</v>
      </c>
      <c r="D27" s="28">
        <f t="shared" si="1"/>
        <v>72</v>
      </c>
      <c r="E27" s="46">
        <f t="shared" si="3"/>
        <v>506</v>
      </c>
      <c r="F27" s="46">
        <f t="shared" si="0"/>
        <v>578</v>
      </c>
      <c r="G27" s="46">
        <f t="shared" si="4"/>
        <v>3841</v>
      </c>
      <c r="H27" s="27"/>
      <c r="I27" s="48"/>
      <c r="J27" s="35"/>
    </row>
    <row r="28" spans="1:13">
      <c r="A28" s="27">
        <v>14</v>
      </c>
      <c r="B28" s="29">
        <v>40882</v>
      </c>
      <c r="C28" s="46">
        <f t="shared" si="2"/>
        <v>28</v>
      </c>
      <c r="D28" s="28">
        <f t="shared" si="1"/>
        <v>51</v>
      </c>
      <c r="E28" s="46">
        <f t="shared" si="3"/>
        <v>527</v>
      </c>
      <c r="F28" s="46">
        <f t="shared" si="0"/>
        <v>578</v>
      </c>
      <c r="G28" s="46">
        <f t="shared" si="4"/>
        <v>3314</v>
      </c>
      <c r="H28" s="27"/>
      <c r="I28" s="48"/>
      <c r="J28" s="35"/>
    </row>
    <row r="29" spans="1:13">
      <c r="A29" s="27">
        <v>15</v>
      </c>
      <c r="B29" s="29">
        <v>40910</v>
      </c>
      <c r="C29" s="46">
        <f>B29-B28</f>
        <v>28</v>
      </c>
      <c r="D29" s="28">
        <f t="shared" si="1"/>
        <v>44</v>
      </c>
      <c r="E29" s="46">
        <f t="shared" si="3"/>
        <v>534</v>
      </c>
      <c r="F29" s="46">
        <f t="shared" si="0"/>
        <v>578</v>
      </c>
      <c r="G29" s="46">
        <f t="shared" si="4"/>
        <v>2780</v>
      </c>
      <c r="H29" s="49"/>
      <c r="I29" s="48"/>
      <c r="J29" s="35"/>
    </row>
    <row r="30" spans="1:13">
      <c r="A30" s="27">
        <v>16</v>
      </c>
      <c r="B30" s="29">
        <v>40945</v>
      </c>
      <c r="C30" s="46">
        <f t="shared" ref="C30:C34" si="5">B30-B29</f>
        <v>35</v>
      </c>
      <c r="D30" s="28">
        <f t="shared" si="1"/>
        <v>46</v>
      </c>
      <c r="E30" s="46">
        <f t="shared" si="3"/>
        <v>532</v>
      </c>
      <c r="F30" s="46">
        <f t="shared" si="0"/>
        <v>578</v>
      </c>
      <c r="G30" s="46">
        <f t="shared" si="4"/>
        <v>2248</v>
      </c>
      <c r="H30" s="49"/>
      <c r="I30" s="30"/>
      <c r="J30" s="27"/>
    </row>
    <row r="31" spans="1:13">
      <c r="A31" s="27">
        <v>17</v>
      </c>
      <c r="B31" s="29">
        <v>40973</v>
      </c>
      <c r="C31" s="46">
        <f t="shared" si="5"/>
        <v>28</v>
      </c>
      <c r="D31" s="28">
        <f t="shared" si="1"/>
        <v>30</v>
      </c>
      <c r="E31" s="46">
        <f t="shared" si="3"/>
        <v>548</v>
      </c>
      <c r="F31" s="46">
        <f t="shared" si="0"/>
        <v>578</v>
      </c>
      <c r="G31" s="46">
        <f t="shared" si="4"/>
        <v>1700</v>
      </c>
      <c r="H31" s="49"/>
      <c r="I31" s="30"/>
      <c r="J31" s="27"/>
    </row>
    <row r="32" spans="1:13">
      <c r="A32" s="27">
        <v>18</v>
      </c>
      <c r="B32" s="29">
        <v>41001</v>
      </c>
      <c r="C32" s="46">
        <f t="shared" si="5"/>
        <v>28</v>
      </c>
      <c r="D32" s="28">
        <f t="shared" si="1"/>
        <v>22</v>
      </c>
      <c r="E32" s="46">
        <f t="shared" si="3"/>
        <v>556</v>
      </c>
      <c r="F32" s="46">
        <f t="shared" si="0"/>
        <v>578</v>
      </c>
      <c r="G32" s="46">
        <f t="shared" si="4"/>
        <v>1144</v>
      </c>
      <c r="H32" s="49"/>
      <c r="I32" s="30"/>
      <c r="J32" s="27"/>
    </row>
    <row r="33" spans="1:15">
      <c r="A33" s="27">
        <v>19</v>
      </c>
      <c r="B33" s="29">
        <v>41036</v>
      </c>
      <c r="C33" s="46">
        <f t="shared" si="5"/>
        <v>35</v>
      </c>
      <c r="D33" s="28">
        <f t="shared" si="1"/>
        <v>19</v>
      </c>
      <c r="E33" s="46">
        <f t="shared" si="3"/>
        <v>559</v>
      </c>
      <c r="F33" s="46">
        <f t="shared" si="0"/>
        <v>578</v>
      </c>
      <c r="G33" s="46">
        <f t="shared" si="4"/>
        <v>585</v>
      </c>
      <c r="H33" s="49"/>
      <c r="I33" s="30"/>
      <c r="J33" s="27"/>
    </row>
    <row r="34" spans="1:15">
      <c r="A34" s="27">
        <v>20</v>
      </c>
      <c r="B34" s="29">
        <v>41064</v>
      </c>
      <c r="C34" s="46">
        <f t="shared" si="5"/>
        <v>28</v>
      </c>
      <c r="D34" s="28">
        <f t="shared" si="1"/>
        <v>8</v>
      </c>
      <c r="E34" s="46">
        <f t="shared" si="3"/>
        <v>585</v>
      </c>
      <c r="F34" s="46">
        <v>593</v>
      </c>
      <c r="G34" s="46">
        <f t="shared" si="4"/>
        <v>0</v>
      </c>
      <c r="H34" s="49">
        <f>F34+G34</f>
        <v>593</v>
      </c>
      <c r="I34" s="30"/>
      <c r="J34" s="27"/>
    </row>
    <row r="35" spans="1:15">
      <c r="A35" s="27"/>
      <c r="B35" s="29"/>
      <c r="C35" s="46"/>
      <c r="D35" s="47"/>
      <c r="E35" s="48"/>
      <c r="F35" s="48"/>
      <c r="G35" s="48"/>
      <c r="H35" s="49"/>
      <c r="I35" s="30"/>
      <c r="J35" s="27"/>
    </row>
    <row r="36" spans="1:15">
      <c r="A36" s="27"/>
      <c r="B36" s="32" t="s">
        <v>5</v>
      </c>
      <c r="C36" s="50">
        <f>SUM(C15:C34)</f>
        <v>609</v>
      </c>
      <c r="D36" s="57">
        <f>SUM(D15:D34)</f>
        <v>1575</v>
      </c>
      <c r="E36" s="58">
        <f>SUM(E15:E34)</f>
        <v>10000</v>
      </c>
      <c r="F36" s="57">
        <f t="shared" ref="F36" si="6">SUM(F15:F29)</f>
        <v>8670</v>
      </c>
      <c r="G36" s="48"/>
      <c r="H36" s="33"/>
      <c r="I36" s="27"/>
      <c r="J36" s="27"/>
    </row>
    <row r="37" spans="1:15">
      <c r="A37" s="27"/>
      <c r="B37" s="32"/>
      <c r="C37" s="50"/>
      <c r="D37" s="51"/>
      <c r="E37" s="52"/>
      <c r="F37" s="53"/>
      <c r="G37" s="48"/>
      <c r="H37" s="33"/>
      <c r="I37" s="27"/>
      <c r="J37" s="35"/>
    </row>
    <row r="39" spans="1:15">
      <c r="B39" s="2" t="s">
        <v>10</v>
      </c>
      <c r="D39" s="1"/>
    </row>
    <row r="40" spans="1:15">
      <c r="B40" s="2"/>
      <c r="D40" s="1"/>
      <c r="H40" s="25"/>
    </row>
    <row r="41" spans="1:15">
      <c r="B41" t="s">
        <v>6</v>
      </c>
      <c r="C41" s="4">
        <f>M15</f>
        <v>10000</v>
      </c>
      <c r="D41" s="1"/>
    </row>
    <row r="42" spans="1:15">
      <c r="B42" t="s">
        <v>16</v>
      </c>
      <c r="C42" s="4">
        <f>M16</f>
        <v>20</v>
      </c>
      <c r="D42" s="1"/>
    </row>
    <row r="43" spans="1:15">
      <c r="B43" s="24" t="s">
        <v>12</v>
      </c>
      <c r="C43" s="40">
        <v>40546</v>
      </c>
      <c r="D43" s="1"/>
    </row>
    <row r="44" spans="1:15">
      <c r="C44" s="21"/>
      <c r="D44" s="1"/>
    </row>
    <row r="45" spans="1:15">
      <c r="C45" s="3"/>
      <c r="D45" s="1"/>
      <c r="G45" t="s">
        <v>14</v>
      </c>
    </row>
    <row r="46" spans="1:15">
      <c r="A46" s="32" t="s">
        <v>13</v>
      </c>
      <c r="B46" s="32" t="s">
        <v>9</v>
      </c>
      <c r="C46" s="41" t="s">
        <v>11</v>
      </c>
      <c r="D46" s="54" t="s">
        <v>2</v>
      </c>
      <c r="E46" s="41" t="s">
        <v>3</v>
      </c>
      <c r="F46" s="41" t="s">
        <v>22</v>
      </c>
      <c r="G46" s="42">
        <f>M15</f>
        <v>10000</v>
      </c>
      <c r="H46" s="56" t="s">
        <v>26</v>
      </c>
      <c r="I46" s="44"/>
      <c r="J46" s="45"/>
      <c r="L46" s="36" t="s">
        <v>17</v>
      </c>
      <c r="M46" s="26">
        <f>M49/100/12</f>
        <v>1.4295E-2</v>
      </c>
      <c r="N46" t="s">
        <v>23</v>
      </c>
    </row>
    <row r="47" spans="1:15">
      <c r="A47" s="27">
        <v>1</v>
      </c>
      <c r="B47" s="29">
        <v>40581</v>
      </c>
      <c r="C47" s="46">
        <f>B47-C43</f>
        <v>35</v>
      </c>
      <c r="D47" s="46">
        <f>ROUND($M$50*G46*C47,0)</f>
        <v>164</v>
      </c>
      <c r="E47" s="46">
        <f>F47-D47</f>
        <v>414</v>
      </c>
      <c r="F47" s="46">
        <f>$O$48</f>
        <v>578</v>
      </c>
      <c r="G47" s="46">
        <f>G46-E47</f>
        <v>9586</v>
      </c>
      <c r="H47" s="48"/>
      <c r="I47" s="48"/>
      <c r="J47" s="35"/>
      <c r="L47" s="37" t="s">
        <v>18</v>
      </c>
      <c r="M47" s="26">
        <v>10000</v>
      </c>
    </row>
    <row r="48" spans="1:15">
      <c r="A48" s="27">
        <v>2</v>
      </c>
      <c r="B48" s="29">
        <v>40609</v>
      </c>
      <c r="C48" s="46">
        <f>B48-B47</f>
        <v>28</v>
      </c>
      <c r="D48" s="46">
        <f t="shared" ref="D48:D66" si="7">ROUND($M$50*G47*C48,0)</f>
        <v>126</v>
      </c>
      <c r="E48" s="46">
        <f t="shared" ref="E48:E66" si="8">F48-D48</f>
        <v>452</v>
      </c>
      <c r="F48" s="46">
        <f t="shared" ref="F48:F65" si="9">$O$48</f>
        <v>578</v>
      </c>
      <c r="G48" s="46">
        <f>G47-E48</f>
        <v>9134</v>
      </c>
      <c r="H48" s="48"/>
      <c r="I48" s="48"/>
      <c r="J48" s="35"/>
      <c r="L48" s="37" t="s">
        <v>19</v>
      </c>
      <c r="M48" s="26">
        <v>20</v>
      </c>
      <c r="N48" t="s">
        <v>24</v>
      </c>
      <c r="O48" s="24">
        <f>ROUND((M46*M47)/(1-(1+M46)^-M48),0)</f>
        <v>578</v>
      </c>
    </row>
    <row r="49" spans="1:13">
      <c r="A49" s="27">
        <v>3</v>
      </c>
      <c r="B49" s="29">
        <v>40637</v>
      </c>
      <c r="C49" s="46">
        <f t="shared" ref="C49:C60" si="10">B49-B48</f>
        <v>28</v>
      </c>
      <c r="D49" s="46">
        <f t="shared" si="7"/>
        <v>120</v>
      </c>
      <c r="E49" s="46">
        <f t="shared" si="8"/>
        <v>458</v>
      </c>
      <c r="F49" s="46">
        <f t="shared" si="9"/>
        <v>578</v>
      </c>
      <c r="G49" s="46">
        <f t="shared" ref="G49:G66" si="11">G48-E49</f>
        <v>8676</v>
      </c>
      <c r="H49" s="48"/>
      <c r="I49" s="48"/>
      <c r="J49" s="35"/>
      <c r="L49" s="37" t="s">
        <v>20</v>
      </c>
      <c r="M49" s="26">
        <v>17.154</v>
      </c>
    </row>
    <row r="50" spans="1:13">
      <c r="A50" s="27">
        <v>4</v>
      </c>
      <c r="B50" s="29">
        <v>40665</v>
      </c>
      <c r="C50" s="46">
        <f>B50-B49</f>
        <v>28</v>
      </c>
      <c r="D50" s="46">
        <f t="shared" si="7"/>
        <v>114</v>
      </c>
      <c r="E50" s="46">
        <f t="shared" si="8"/>
        <v>464</v>
      </c>
      <c r="F50" s="46">
        <f t="shared" si="9"/>
        <v>578</v>
      </c>
      <c r="G50" s="46">
        <f t="shared" si="11"/>
        <v>8212</v>
      </c>
      <c r="H50" s="48"/>
      <c r="I50" s="48"/>
      <c r="J50" s="35"/>
      <c r="L50" s="37" t="s">
        <v>25</v>
      </c>
      <c r="M50" s="26">
        <f>M49/36500</f>
        <v>4.69972602739726E-4</v>
      </c>
    </row>
    <row r="51" spans="1:13">
      <c r="A51" s="27">
        <v>5</v>
      </c>
      <c r="B51" s="29">
        <v>40700</v>
      </c>
      <c r="C51" s="46">
        <f>B51-B50</f>
        <v>35</v>
      </c>
      <c r="D51" s="46">
        <f t="shared" si="7"/>
        <v>135</v>
      </c>
      <c r="E51" s="46">
        <f t="shared" si="8"/>
        <v>443</v>
      </c>
      <c r="F51" s="46">
        <f t="shared" si="9"/>
        <v>578</v>
      </c>
      <c r="G51" s="46">
        <f t="shared" si="11"/>
        <v>7769</v>
      </c>
      <c r="H51" s="48"/>
      <c r="I51" s="48"/>
      <c r="J51" s="35"/>
    </row>
    <row r="52" spans="1:13">
      <c r="A52" s="27">
        <v>6</v>
      </c>
      <c r="B52" s="29">
        <v>40728</v>
      </c>
      <c r="C52" s="46">
        <f>B52-B51</f>
        <v>28</v>
      </c>
      <c r="D52" s="46">
        <f t="shared" si="7"/>
        <v>102</v>
      </c>
      <c r="E52" s="46">
        <f t="shared" si="8"/>
        <v>476</v>
      </c>
      <c r="F52" s="46">
        <f t="shared" si="9"/>
        <v>578</v>
      </c>
      <c r="G52" s="46">
        <f t="shared" si="11"/>
        <v>7293</v>
      </c>
      <c r="H52" s="48"/>
      <c r="I52" s="48"/>
      <c r="J52" s="35"/>
    </row>
    <row r="53" spans="1:13">
      <c r="A53" s="27">
        <v>7</v>
      </c>
      <c r="B53" s="29">
        <v>40756</v>
      </c>
      <c r="C53" s="46">
        <f t="shared" si="10"/>
        <v>28</v>
      </c>
      <c r="D53" s="46">
        <f t="shared" si="7"/>
        <v>96</v>
      </c>
      <c r="E53" s="46">
        <f t="shared" si="8"/>
        <v>482</v>
      </c>
      <c r="F53" s="46">
        <f t="shared" si="9"/>
        <v>578</v>
      </c>
      <c r="G53" s="46">
        <f t="shared" si="11"/>
        <v>6811</v>
      </c>
      <c r="H53" s="48"/>
      <c r="I53" s="48"/>
      <c r="J53" s="35"/>
    </row>
    <row r="54" spans="1:13">
      <c r="A54" s="27">
        <v>8</v>
      </c>
      <c r="B54" s="29">
        <v>40791</v>
      </c>
      <c r="C54" s="46">
        <f t="shared" si="10"/>
        <v>35</v>
      </c>
      <c r="D54" s="46">
        <f t="shared" si="7"/>
        <v>112</v>
      </c>
      <c r="E54" s="46">
        <f t="shared" si="8"/>
        <v>466</v>
      </c>
      <c r="F54" s="46">
        <f t="shared" si="9"/>
        <v>578</v>
      </c>
      <c r="G54" s="46">
        <f t="shared" si="11"/>
        <v>6345</v>
      </c>
      <c r="H54" s="48"/>
      <c r="I54" s="48"/>
      <c r="J54" s="35"/>
    </row>
    <row r="55" spans="1:13">
      <c r="A55" s="27">
        <v>9</v>
      </c>
      <c r="B55" s="29">
        <v>40819</v>
      </c>
      <c r="C55" s="46">
        <f t="shared" si="10"/>
        <v>28</v>
      </c>
      <c r="D55" s="46">
        <f t="shared" si="7"/>
        <v>83</v>
      </c>
      <c r="E55" s="46">
        <f t="shared" si="8"/>
        <v>495</v>
      </c>
      <c r="F55" s="46">
        <f t="shared" si="9"/>
        <v>578</v>
      </c>
      <c r="G55" s="46">
        <f t="shared" si="11"/>
        <v>5850</v>
      </c>
      <c r="H55" s="48"/>
      <c r="I55" s="48"/>
      <c r="J55" s="35"/>
    </row>
    <row r="56" spans="1:13">
      <c r="A56" s="27">
        <v>10</v>
      </c>
      <c r="B56" s="29">
        <v>40854</v>
      </c>
      <c r="C56" s="46">
        <f t="shared" si="10"/>
        <v>35</v>
      </c>
      <c r="D56" s="46">
        <f t="shared" si="7"/>
        <v>96</v>
      </c>
      <c r="E56" s="46">
        <f t="shared" si="8"/>
        <v>482</v>
      </c>
      <c r="F56" s="46">
        <f t="shared" si="9"/>
        <v>578</v>
      </c>
      <c r="G56" s="46">
        <f t="shared" si="11"/>
        <v>5368</v>
      </c>
      <c r="H56" s="48"/>
      <c r="I56" s="48"/>
      <c r="J56" s="35"/>
    </row>
    <row r="57" spans="1:13">
      <c r="A57" s="27">
        <v>11</v>
      </c>
      <c r="B57" s="29">
        <v>40882</v>
      </c>
      <c r="C57" s="46">
        <f t="shared" si="10"/>
        <v>28</v>
      </c>
      <c r="D57" s="46">
        <f t="shared" si="7"/>
        <v>71</v>
      </c>
      <c r="E57" s="46">
        <f t="shared" si="8"/>
        <v>507</v>
      </c>
      <c r="F57" s="46">
        <f t="shared" si="9"/>
        <v>578</v>
      </c>
      <c r="G57" s="46">
        <f t="shared" si="11"/>
        <v>4861</v>
      </c>
      <c r="H57" s="48"/>
      <c r="I57" s="48"/>
      <c r="J57" s="35"/>
    </row>
    <row r="58" spans="1:13">
      <c r="A58" s="27">
        <v>12</v>
      </c>
      <c r="B58" s="29">
        <v>40910</v>
      </c>
      <c r="C58" s="46">
        <f t="shared" si="10"/>
        <v>28</v>
      </c>
      <c r="D58" s="46">
        <f t="shared" si="7"/>
        <v>64</v>
      </c>
      <c r="E58" s="46">
        <f t="shared" si="8"/>
        <v>514</v>
      </c>
      <c r="F58" s="46">
        <f t="shared" si="9"/>
        <v>578</v>
      </c>
      <c r="G58" s="46">
        <f t="shared" si="11"/>
        <v>4347</v>
      </c>
      <c r="H58" s="48"/>
      <c r="I58" s="48"/>
      <c r="J58" s="35"/>
    </row>
    <row r="59" spans="1:13">
      <c r="A59" s="27">
        <v>13</v>
      </c>
      <c r="B59" s="29">
        <v>40945</v>
      </c>
      <c r="C59" s="46">
        <f t="shared" si="10"/>
        <v>35</v>
      </c>
      <c r="D59" s="46">
        <f t="shared" si="7"/>
        <v>72</v>
      </c>
      <c r="E59" s="46">
        <f t="shared" si="8"/>
        <v>506</v>
      </c>
      <c r="F59" s="46">
        <f t="shared" si="9"/>
        <v>578</v>
      </c>
      <c r="G59" s="46">
        <f t="shared" si="11"/>
        <v>3841</v>
      </c>
      <c r="H59" s="48"/>
      <c r="I59" s="48"/>
      <c r="J59" s="35"/>
    </row>
    <row r="60" spans="1:13">
      <c r="A60" s="27">
        <v>14</v>
      </c>
      <c r="B60" s="29">
        <v>40973</v>
      </c>
      <c r="C60" s="46">
        <f t="shared" si="10"/>
        <v>28</v>
      </c>
      <c r="D60" s="46">
        <f t="shared" si="7"/>
        <v>51</v>
      </c>
      <c r="E60" s="46">
        <f t="shared" si="8"/>
        <v>527</v>
      </c>
      <c r="F60" s="46">
        <f t="shared" si="9"/>
        <v>578</v>
      </c>
      <c r="G60" s="46">
        <f t="shared" si="11"/>
        <v>3314</v>
      </c>
      <c r="H60" s="48"/>
      <c r="I60" s="48"/>
      <c r="J60" s="35"/>
    </row>
    <row r="61" spans="1:13">
      <c r="A61" s="59">
        <v>15</v>
      </c>
      <c r="B61" s="60">
        <v>41001</v>
      </c>
      <c r="C61" s="61">
        <f>B61-B60</f>
        <v>28</v>
      </c>
      <c r="D61" s="46">
        <f t="shared" si="7"/>
        <v>44</v>
      </c>
      <c r="E61" s="46">
        <f t="shared" si="8"/>
        <v>534</v>
      </c>
      <c r="F61" s="46">
        <f t="shared" si="9"/>
        <v>578</v>
      </c>
      <c r="G61" s="61">
        <f t="shared" si="11"/>
        <v>2780</v>
      </c>
      <c r="H61" s="62"/>
      <c r="I61" s="62"/>
      <c r="J61" s="63"/>
    </row>
    <row r="62" spans="1:13" s="27" customFormat="1">
      <c r="A62" s="27">
        <v>16</v>
      </c>
      <c r="B62" s="29">
        <v>41036</v>
      </c>
      <c r="C62" s="46">
        <f t="shared" ref="C62:C66" si="12">B62-B61</f>
        <v>35</v>
      </c>
      <c r="D62" s="46">
        <f t="shared" si="7"/>
        <v>46</v>
      </c>
      <c r="E62" s="46">
        <f t="shared" si="8"/>
        <v>532</v>
      </c>
      <c r="F62" s="46">
        <f t="shared" si="9"/>
        <v>578</v>
      </c>
      <c r="G62" s="46">
        <f t="shared" si="11"/>
        <v>2248</v>
      </c>
      <c r="H62" s="49"/>
      <c r="I62" s="30"/>
    </row>
    <row r="63" spans="1:13" s="27" customFormat="1">
      <c r="A63" s="27">
        <v>17</v>
      </c>
      <c r="B63" s="29">
        <v>41064</v>
      </c>
      <c r="C63" s="46">
        <f t="shared" si="12"/>
        <v>28</v>
      </c>
      <c r="D63" s="46">
        <f t="shared" si="7"/>
        <v>30</v>
      </c>
      <c r="E63" s="46">
        <f t="shared" si="8"/>
        <v>548</v>
      </c>
      <c r="F63" s="46">
        <f t="shared" si="9"/>
        <v>578</v>
      </c>
      <c r="G63" s="46">
        <f t="shared" si="11"/>
        <v>1700</v>
      </c>
      <c r="H63" s="49"/>
      <c r="I63" s="30"/>
    </row>
    <row r="64" spans="1:13" s="27" customFormat="1">
      <c r="A64" s="27">
        <v>18</v>
      </c>
      <c r="B64" s="29">
        <v>41092</v>
      </c>
      <c r="C64" s="46">
        <f t="shared" si="12"/>
        <v>28</v>
      </c>
      <c r="D64" s="46">
        <f t="shared" si="7"/>
        <v>22</v>
      </c>
      <c r="E64" s="46">
        <f t="shared" si="8"/>
        <v>556</v>
      </c>
      <c r="F64" s="46">
        <f t="shared" si="9"/>
        <v>578</v>
      </c>
      <c r="G64" s="46">
        <f t="shared" si="11"/>
        <v>1144</v>
      </c>
      <c r="H64" s="49"/>
      <c r="I64" s="30"/>
    </row>
    <row r="65" spans="1:15" s="27" customFormat="1">
      <c r="A65" s="27">
        <v>19</v>
      </c>
      <c r="B65" s="29">
        <v>41127</v>
      </c>
      <c r="C65" s="46">
        <f t="shared" si="12"/>
        <v>35</v>
      </c>
      <c r="D65" s="46">
        <f t="shared" si="7"/>
        <v>19</v>
      </c>
      <c r="E65" s="46">
        <f t="shared" si="8"/>
        <v>559</v>
      </c>
      <c r="F65" s="46">
        <f t="shared" si="9"/>
        <v>578</v>
      </c>
      <c r="G65" s="46">
        <f t="shared" si="11"/>
        <v>585</v>
      </c>
      <c r="H65" s="49"/>
      <c r="I65" s="30"/>
    </row>
    <row r="66" spans="1:15" s="27" customFormat="1">
      <c r="A66" s="27">
        <v>20</v>
      </c>
      <c r="B66" s="29">
        <v>41155</v>
      </c>
      <c r="C66" s="46">
        <f t="shared" si="12"/>
        <v>28</v>
      </c>
      <c r="D66" s="46">
        <f t="shared" si="7"/>
        <v>8</v>
      </c>
      <c r="E66" s="46">
        <f t="shared" si="8"/>
        <v>585</v>
      </c>
      <c r="F66" s="46">
        <v>593</v>
      </c>
      <c r="G66" s="46">
        <f t="shared" si="11"/>
        <v>0</v>
      </c>
      <c r="H66" s="49">
        <f>F66+G66</f>
        <v>593</v>
      </c>
      <c r="I66" s="30"/>
    </row>
    <row r="67" spans="1:15" s="27" customFormat="1">
      <c r="B67" s="29"/>
      <c r="C67" s="46"/>
      <c r="D67" s="47"/>
      <c r="E67" s="48"/>
      <c r="F67" s="48"/>
      <c r="G67" s="48"/>
      <c r="H67" s="49"/>
      <c r="I67" s="30"/>
    </row>
    <row r="68" spans="1:15" s="27" customFormat="1">
      <c r="B68" s="32" t="s">
        <v>5</v>
      </c>
      <c r="C68" s="50">
        <f>SUM(C47:C66)</f>
        <v>609</v>
      </c>
      <c r="D68" s="57">
        <f>SUM(D47:D66)</f>
        <v>1575</v>
      </c>
      <c r="E68" s="58">
        <f>SUM(E47:E66)</f>
        <v>10000</v>
      </c>
      <c r="F68" s="57">
        <f t="shared" ref="F68" si="13">SUM(F47:F61)</f>
        <v>8670</v>
      </c>
      <c r="G68" s="48"/>
      <c r="H68" s="33"/>
    </row>
    <row r="69" spans="1:15" s="2" customFormat="1">
      <c r="A69" s="64"/>
      <c r="B69" s="64"/>
      <c r="C69" s="65"/>
      <c r="D69" s="66"/>
      <c r="E69" s="66"/>
      <c r="F69" s="66"/>
      <c r="G69" s="66"/>
      <c r="H69" s="66"/>
      <c r="I69" s="67"/>
      <c r="J69" s="68"/>
    </row>
    <row r="71" spans="1:15">
      <c r="B71" s="2" t="s">
        <v>27</v>
      </c>
      <c r="D71" s="1"/>
    </row>
    <row r="72" spans="1:15">
      <c r="B72" s="2"/>
      <c r="D72" s="1"/>
      <c r="H72" s="25"/>
    </row>
    <row r="73" spans="1:15">
      <c r="B73" t="s">
        <v>6</v>
      </c>
      <c r="C73" s="4">
        <f>M15</f>
        <v>10000</v>
      </c>
      <c r="D73" s="1"/>
    </row>
    <row r="74" spans="1:15">
      <c r="B74" t="s">
        <v>16</v>
      </c>
      <c r="C74" s="4">
        <f>M16</f>
        <v>20</v>
      </c>
      <c r="D74" s="1"/>
    </row>
    <row r="75" spans="1:15">
      <c r="B75" s="24" t="s">
        <v>12</v>
      </c>
      <c r="C75" s="40">
        <v>40609</v>
      </c>
      <c r="D75" s="1"/>
    </row>
    <row r="76" spans="1:15">
      <c r="C76" s="21"/>
      <c r="D76" s="1"/>
    </row>
    <row r="77" spans="1:15">
      <c r="C77" s="3"/>
      <c r="D77" s="1"/>
      <c r="G77" t="s">
        <v>14</v>
      </c>
    </row>
    <row r="78" spans="1:15">
      <c r="A78" s="32" t="s">
        <v>13</v>
      </c>
      <c r="B78" s="32" t="s">
        <v>9</v>
      </c>
      <c r="C78" s="41" t="s">
        <v>11</v>
      </c>
      <c r="D78" s="54" t="s">
        <v>2</v>
      </c>
      <c r="E78" s="41" t="s">
        <v>3</v>
      </c>
      <c r="F78" s="41" t="s">
        <v>22</v>
      </c>
      <c r="G78" s="42">
        <f>M15</f>
        <v>10000</v>
      </c>
      <c r="H78" s="55" t="s">
        <v>26</v>
      </c>
      <c r="I78" s="44"/>
      <c r="J78" s="45"/>
      <c r="L78" s="36" t="s">
        <v>17</v>
      </c>
      <c r="M78" s="26">
        <f>M81/100/12</f>
        <v>1.4441666666666665E-2</v>
      </c>
      <c r="N78" t="s">
        <v>23</v>
      </c>
    </row>
    <row r="79" spans="1:15">
      <c r="A79" s="27">
        <v>1</v>
      </c>
      <c r="B79" s="29">
        <v>40637</v>
      </c>
      <c r="C79" s="46">
        <f>B79-C75</f>
        <v>28</v>
      </c>
      <c r="D79" s="46">
        <f>ROUND($M$82*G78*C79,0)</f>
        <v>133</v>
      </c>
      <c r="E79" s="46">
        <f>F79-D79</f>
        <v>446</v>
      </c>
      <c r="F79" s="46">
        <f>$O$80</f>
        <v>579</v>
      </c>
      <c r="G79" s="46">
        <f>G78-E79</f>
        <v>9554</v>
      </c>
      <c r="H79" s="48"/>
      <c r="I79" s="48"/>
      <c r="J79" s="35"/>
      <c r="L79" s="37" t="s">
        <v>18</v>
      </c>
      <c r="M79" s="26">
        <v>10000</v>
      </c>
    </row>
    <row r="80" spans="1:15">
      <c r="A80" s="27">
        <v>2</v>
      </c>
      <c r="B80" s="29">
        <v>40665</v>
      </c>
      <c r="C80" s="46">
        <f t="shared" ref="C80:C98" si="14">B80-B79</f>
        <v>28</v>
      </c>
      <c r="D80" s="46">
        <f t="shared" ref="D80:D98" si="15">ROUND($M$82*G79*C80,0)</f>
        <v>127</v>
      </c>
      <c r="E80" s="46">
        <f>F80-D80</f>
        <v>452</v>
      </c>
      <c r="F80" s="46">
        <f t="shared" ref="F80:F97" si="16">$O$80</f>
        <v>579</v>
      </c>
      <c r="G80" s="46">
        <f>G79-E80</f>
        <v>9102</v>
      </c>
      <c r="H80" s="48"/>
      <c r="I80" s="48"/>
      <c r="J80" s="35"/>
      <c r="L80" s="37" t="s">
        <v>19</v>
      </c>
      <c r="M80" s="26">
        <v>20</v>
      </c>
      <c r="N80" t="s">
        <v>24</v>
      </c>
      <c r="O80" s="24">
        <f>ROUND((M78*M79)/(1-(1+M78)^-M80),0)</f>
        <v>579</v>
      </c>
    </row>
    <row r="81" spans="1:13">
      <c r="A81" s="27">
        <v>3</v>
      </c>
      <c r="B81" s="29">
        <v>40700</v>
      </c>
      <c r="C81" s="46">
        <f t="shared" si="14"/>
        <v>35</v>
      </c>
      <c r="D81" s="46">
        <f t="shared" si="15"/>
        <v>151</v>
      </c>
      <c r="E81" s="46">
        <f t="shared" ref="E81:E98" si="17">F81-D81</f>
        <v>428</v>
      </c>
      <c r="F81" s="46">
        <f t="shared" si="16"/>
        <v>579</v>
      </c>
      <c r="G81" s="46">
        <f t="shared" ref="G81:G98" si="18">G80-E81</f>
        <v>8674</v>
      </c>
      <c r="H81" s="48"/>
      <c r="I81" s="48"/>
      <c r="J81" s="35"/>
      <c r="L81" s="37" t="s">
        <v>20</v>
      </c>
      <c r="M81" s="26">
        <v>17.329999999999998</v>
      </c>
    </row>
    <row r="82" spans="1:13">
      <c r="A82" s="27">
        <v>4</v>
      </c>
      <c r="B82" s="29">
        <v>40728</v>
      </c>
      <c r="C82" s="46">
        <f t="shared" si="14"/>
        <v>28</v>
      </c>
      <c r="D82" s="46">
        <f t="shared" si="15"/>
        <v>115</v>
      </c>
      <c r="E82" s="46">
        <f t="shared" si="17"/>
        <v>464</v>
      </c>
      <c r="F82" s="46">
        <f t="shared" si="16"/>
        <v>579</v>
      </c>
      <c r="G82" s="46">
        <f t="shared" si="18"/>
        <v>8210</v>
      </c>
      <c r="H82" s="48"/>
      <c r="I82" s="48"/>
      <c r="J82" s="35"/>
      <c r="L82" s="37" t="s">
        <v>25</v>
      </c>
      <c r="M82" s="26">
        <f>M81/36500</f>
        <v>4.7479452054794514E-4</v>
      </c>
    </row>
    <row r="83" spans="1:13">
      <c r="A83" s="27">
        <v>5</v>
      </c>
      <c r="B83" s="29">
        <v>40756</v>
      </c>
      <c r="C83" s="46">
        <f t="shared" si="14"/>
        <v>28</v>
      </c>
      <c r="D83" s="46">
        <f t="shared" si="15"/>
        <v>109</v>
      </c>
      <c r="E83" s="46">
        <f t="shared" si="17"/>
        <v>470</v>
      </c>
      <c r="F83" s="46">
        <f t="shared" si="16"/>
        <v>579</v>
      </c>
      <c r="G83" s="46">
        <f t="shared" si="18"/>
        <v>7740</v>
      </c>
      <c r="H83" s="48"/>
      <c r="I83" s="48"/>
      <c r="J83" s="35"/>
    </row>
    <row r="84" spans="1:13">
      <c r="A84" s="27">
        <v>6</v>
      </c>
      <c r="B84" s="29">
        <v>40791</v>
      </c>
      <c r="C84" s="46">
        <f t="shared" si="14"/>
        <v>35</v>
      </c>
      <c r="D84" s="46">
        <f t="shared" si="15"/>
        <v>129</v>
      </c>
      <c r="E84" s="46">
        <f t="shared" si="17"/>
        <v>450</v>
      </c>
      <c r="F84" s="46">
        <f t="shared" si="16"/>
        <v>579</v>
      </c>
      <c r="G84" s="46">
        <f t="shared" si="18"/>
        <v>7290</v>
      </c>
      <c r="H84" s="48"/>
      <c r="I84" s="48"/>
      <c r="J84" s="35"/>
    </row>
    <row r="85" spans="1:13">
      <c r="A85" s="27">
        <v>7</v>
      </c>
      <c r="B85" s="29">
        <v>40819</v>
      </c>
      <c r="C85" s="46">
        <f t="shared" si="14"/>
        <v>28</v>
      </c>
      <c r="D85" s="46">
        <f t="shared" si="15"/>
        <v>97</v>
      </c>
      <c r="E85" s="46">
        <f t="shared" si="17"/>
        <v>482</v>
      </c>
      <c r="F85" s="46">
        <f t="shared" si="16"/>
        <v>579</v>
      </c>
      <c r="G85" s="46">
        <f t="shared" si="18"/>
        <v>6808</v>
      </c>
      <c r="H85" s="48"/>
      <c r="I85" s="48"/>
      <c r="J85" s="35"/>
    </row>
    <row r="86" spans="1:13">
      <c r="A86" s="27">
        <v>8</v>
      </c>
      <c r="B86" s="29">
        <v>40854</v>
      </c>
      <c r="C86" s="46">
        <f t="shared" si="14"/>
        <v>35</v>
      </c>
      <c r="D86" s="46">
        <f t="shared" si="15"/>
        <v>113</v>
      </c>
      <c r="E86" s="46">
        <f t="shared" si="17"/>
        <v>466</v>
      </c>
      <c r="F86" s="46">
        <f t="shared" si="16"/>
        <v>579</v>
      </c>
      <c r="G86" s="46">
        <f t="shared" si="18"/>
        <v>6342</v>
      </c>
      <c r="H86" s="48"/>
      <c r="I86" s="48"/>
      <c r="J86" s="35"/>
    </row>
    <row r="87" spans="1:13">
      <c r="A87" s="27">
        <v>9</v>
      </c>
      <c r="B87" s="29">
        <v>40882</v>
      </c>
      <c r="C87" s="46">
        <f t="shared" si="14"/>
        <v>28</v>
      </c>
      <c r="D87" s="46">
        <f t="shared" si="15"/>
        <v>84</v>
      </c>
      <c r="E87" s="46">
        <f t="shared" si="17"/>
        <v>495</v>
      </c>
      <c r="F87" s="46">
        <f t="shared" si="16"/>
        <v>579</v>
      </c>
      <c r="G87" s="46">
        <f t="shared" si="18"/>
        <v>5847</v>
      </c>
      <c r="H87" s="48"/>
      <c r="I87" s="48"/>
      <c r="J87" s="35"/>
    </row>
    <row r="88" spans="1:13">
      <c r="A88" s="27">
        <v>10</v>
      </c>
      <c r="B88" s="29">
        <v>40910</v>
      </c>
      <c r="C88" s="46">
        <f t="shared" si="14"/>
        <v>28</v>
      </c>
      <c r="D88" s="46">
        <f t="shared" si="15"/>
        <v>78</v>
      </c>
      <c r="E88" s="46">
        <f t="shared" si="17"/>
        <v>501</v>
      </c>
      <c r="F88" s="46">
        <f t="shared" si="16"/>
        <v>579</v>
      </c>
      <c r="G88" s="46">
        <f t="shared" si="18"/>
        <v>5346</v>
      </c>
      <c r="H88" s="48"/>
      <c r="I88" s="48"/>
      <c r="J88" s="35"/>
    </row>
    <row r="89" spans="1:13">
      <c r="A89" s="27">
        <v>11</v>
      </c>
      <c r="B89" s="29">
        <v>40945</v>
      </c>
      <c r="C89" s="46">
        <f t="shared" si="14"/>
        <v>35</v>
      </c>
      <c r="D89" s="46">
        <f t="shared" si="15"/>
        <v>89</v>
      </c>
      <c r="E89" s="46">
        <f t="shared" si="17"/>
        <v>490</v>
      </c>
      <c r="F89" s="46">
        <f t="shared" si="16"/>
        <v>579</v>
      </c>
      <c r="G89" s="46">
        <f t="shared" si="18"/>
        <v>4856</v>
      </c>
      <c r="H89" s="48"/>
      <c r="I89" s="48"/>
      <c r="J89" s="35"/>
    </row>
    <row r="90" spans="1:13">
      <c r="A90" s="27">
        <v>12</v>
      </c>
      <c r="B90" s="29">
        <v>40973</v>
      </c>
      <c r="C90" s="46">
        <f t="shared" si="14"/>
        <v>28</v>
      </c>
      <c r="D90" s="46">
        <f t="shared" si="15"/>
        <v>65</v>
      </c>
      <c r="E90" s="46">
        <f t="shared" si="17"/>
        <v>514</v>
      </c>
      <c r="F90" s="46">
        <f t="shared" si="16"/>
        <v>579</v>
      </c>
      <c r="G90" s="46">
        <f t="shared" si="18"/>
        <v>4342</v>
      </c>
      <c r="H90" s="48"/>
      <c r="I90" s="48"/>
      <c r="J90" s="35"/>
    </row>
    <row r="91" spans="1:13">
      <c r="A91" s="27">
        <v>13</v>
      </c>
      <c r="B91" s="29">
        <v>41001</v>
      </c>
      <c r="C91" s="46">
        <f t="shared" si="14"/>
        <v>28</v>
      </c>
      <c r="D91" s="46">
        <f t="shared" si="15"/>
        <v>58</v>
      </c>
      <c r="E91" s="46">
        <f t="shared" si="17"/>
        <v>521</v>
      </c>
      <c r="F91" s="46">
        <f t="shared" si="16"/>
        <v>579</v>
      </c>
      <c r="G91" s="46">
        <f t="shared" si="18"/>
        <v>3821</v>
      </c>
      <c r="H91" s="48"/>
      <c r="I91" s="48"/>
      <c r="J91" s="35"/>
    </row>
    <row r="92" spans="1:13">
      <c r="A92" s="27">
        <v>14</v>
      </c>
      <c r="B92" s="29">
        <v>41036</v>
      </c>
      <c r="C92" s="46">
        <f t="shared" si="14"/>
        <v>35</v>
      </c>
      <c r="D92" s="46">
        <f t="shared" si="15"/>
        <v>63</v>
      </c>
      <c r="E92" s="46">
        <f t="shared" si="17"/>
        <v>516</v>
      </c>
      <c r="F92" s="46">
        <f t="shared" si="16"/>
        <v>579</v>
      </c>
      <c r="G92" s="46">
        <f t="shared" si="18"/>
        <v>3305</v>
      </c>
      <c r="H92" s="48"/>
      <c r="I92" s="48"/>
      <c r="J92" s="35"/>
    </row>
    <row r="93" spans="1:13">
      <c r="A93" s="27">
        <v>15</v>
      </c>
      <c r="B93" s="29">
        <v>41064</v>
      </c>
      <c r="C93" s="46">
        <f t="shared" si="14"/>
        <v>28</v>
      </c>
      <c r="D93" s="46">
        <f t="shared" si="15"/>
        <v>44</v>
      </c>
      <c r="E93" s="46">
        <f t="shared" si="17"/>
        <v>535</v>
      </c>
      <c r="F93" s="46">
        <f t="shared" si="16"/>
        <v>579</v>
      </c>
      <c r="G93" s="46">
        <f t="shared" si="18"/>
        <v>2770</v>
      </c>
      <c r="H93" s="48"/>
      <c r="I93" s="48"/>
      <c r="J93" s="35"/>
    </row>
    <row r="94" spans="1:13">
      <c r="A94" s="27">
        <v>16</v>
      </c>
      <c r="B94" s="29">
        <v>41092</v>
      </c>
      <c r="C94" s="46">
        <f t="shared" si="14"/>
        <v>28</v>
      </c>
      <c r="D94" s="46">
        <f t="shared" si="15"/>
        <v>37</v>
      </c>
      <c r="E94" s="46">
        <f t="shared" si="17"/>
        <v>542</v>
      </c>
      <c r="F94" s="46">
        <f t="shared" si="16"/>
        <v>579</v>
      </c>
      <c r="G94" s="46">
        <f t="shared" si="18"/>
        <v>2228</v>
      </c>
      <c r="H94" s="49"/>
      <c r="I94" s="30"/>
      <c r="J94" s="27"/>
    </row>
    <row r="95" spans="1:13">
      <c r="A95" s="27">
        <v>17</v>
      </c>
      <c r="B95" s="29">
        <v>41127</v>
      </c>
      <c r="C95" s="46">
        <f t="shared" si="14"/>
        <v>35</v>
      </c>
      <c r="D95" s="46">
        <f t="shared" si="15"/>
        <v>37</v>
      </c>
      <c r="E95" s="46">
        <f t="shared" si="17"/>
        <v>542</v>
      </c>
      <c r="F95" s="46">
        <f t="shared" si="16"/>
        <v>579</v>
      </c>
      <c r="G95" s="46">
        <f t="shared" si="18"/>
        <v>1686</v>
      </c>
      <c r="H95" s="49"/>
      <c r="I95" s="30"/>
      <c r="J95" s="27"/>
    </row>
    <row r="96" spans="1:13">
      <c r="A96" s="27">
        <v>18</v>
      </c>
      <c r="B96" s="29">
        <v>41155</v>
      </c>
      <c r="C96" s="46">
        <f t="shared" si="14"/>
        <v>28</v>
      </c>
      <c r="D96" s="46">
        <f t="shared" si="15"/>
        <v>22</v>
      </c>
      <c r="E96" s="46">
        <f t="shared" si="17"/>
        <v>557</v>
      </c>
      <c r="F96" s="46">
        <f t="shared" si="16"/>
        <v>579</v>
      </c>
      <c r="G96" s="46">
        <f t="shared" si="18"/>
        <v>1129</v>
      </c>
      <c r="H96" s="49"/>
      <c r="I96" s="30"/>
      <c r="J96" s="27"/>
    </row>
    <row r="97" spans="1:14">
      <c r="A97" s="27">
        <v>19</v>
      </c>
      <c r="B97" s="29">
        <v>41183</v>
      </c>
      <c r="C97" s="46">
        <f t="shared" si="14"/>
        <v>28</v>
      </c>
      <c r="D97" s="46">
        <f t="shared" si="15"/>
        <v>15</v>
      </c>
      <c r="E97" s="46">
        <f t="shared" si="17"/>
        <v>564</v>
      </c>
      <c r="F97" s="46">
        <f t="shared" si="16"/>
        <v>579</v>
      </c>
      <c r="G97" s="46">
        <f t="shared" si="18"/>
        <v>565</v>
      </c>
      <c r="H97" s="49"/>
      <c r="I97" s="30"/>
      <c r="J97" s="27"/>
    </row>
    <row r="98" spans="1:14">
      <c r="A98" s="27">
        <v>20</v>
      </c>
      <c r="B98" s="29">
        <v>41218</v>
      </c>
      <c r="C98" s="46">
        <f t="shared" si="14"/>
        <v>35</v>
      </c>
      <c r="D98" s="46">
        <f t="shared" si="15"/>
        <v>9</v>
      </c>
      <c r="E98" s="46">
        <f t="shared" si="17"/>
        <v>565</v>
      </c>
      <c r="F98" s="46">
        <v>574</v>
      </c>
      <c r="G98" s="46">
        <f t="shared" si="18"/>
        <v>0</v>
      </c>
      <c r="H98" s="49">
        <f>F98+G98</f>
        <v>574</v>
      </c>
      <c r="I98" s="30"/>
      <c r="J98" s="27"/>
    </row>
    <row r="99" spans="1:14">
      <c r="A99" s="27"/>
      <c r="B99" s="29"/>
      <c r="C99" s="46"/>
      <c r="D99" s="47"/>
      <c r="E99" s="48"/>
      <c r="F99" s="48"/>
      <c r="G99" s="48"/>
      <c r="H99" s="49"/>
      <c r="I99" s="30"/>
      <c r="J99" s="27"/>
    </row>
    <row r="100" spans="1:14">
      <c r="A100" s="27"/>
      <c r="B100" s="32" t="s">
        <v>5</v>
      </c>
      <c r="C100" s="50">
        <f>SUM(C79:C98)</f>
        <v>609</v>
      </c>
      <c r="D100" s="57">
        <f>SUM(D79:D98)</f>
        <v>1575</v>
      </c>
      <c r="E100" s="58">
        <f>SUM(E79:E98)</f>
        <v>10000</v>
      </c>
      <c r="F100" s="57">
        <f t="shared" ref="F100" si="19">SUM(F79:F93)</f>
        <v>8685</v>
      </c>
      <c r="G100" s="48"/>
      <c r="H100" s="33"/>
      <c r="I100" s="27"/>
      <c r="J100" s="27"/>
    </row>
    <row r="101" spans="1:14" s="2" customFormat="1">
      <c r="A101" s="32"/>
      <c r="B101" s="32"/>
      <c r="C101" s="50"/>
      <c r="D101" s="53"/>
      <c r="E101" s="53"/>
      <c r="F101" s="53"/>
      <c r="G101" s="53"/>
      <c r="H101" s="53"/>
      <c r="I101" s="27"/>
      <c r="J101" s="35"/>
    </row>
    <row r="105" spans="1:14">
      <c r="B105" s="2" t="s">
        <v>34</v>
      </c>
      <c r="D105" s="1"/>
    </row>
    <row r="106" spans="1:14">
      <c r="B106" s="2"/>
      <c r="D106" s="1"/>
      <c r="H106" s="25"/>
    </row>
    <row r="107" spans="1:14">
      <c r="B107" t="s">
        <v>6</v>
      </c>
      <c r="C107" s="4">
        <f>M15</f>
        <v>10000</v>
      </c>
      <c r="D107" s="1"/>
    </row>
    <row r="108" spans="1:14">
      <c r="B108" t="s">
        <v>16</v>
      </c>
      <c r="C108" s="4">
        <f>M16</f>
        <v>20</v>
      </c>
      <c r="D108" s="1"/>
    </row>
    <row r="109" spans="1:14">
      <c r="B109" s="24" t="s">
        <v>12</v>
      </c>
      <c r="C109" s="40">
        <v>40728</v>
      </c>
      <c r="D109" s="1"/>
    </row>
    <row r="110" spans="1:14">
      <c r="C110" s="21"/>
      <c r="D110" s="1"/>
    </row>
    <row r="111" spans="1:14">
      <c r="C111" s="3"/>
      <c r="D111" s="1"/>
      <c r="G111" t="s">
        <v>14</v>
      </c>
    </row>
    <row r="112" spans="1:14">
      <c r="A112" s="32" t="s">
        <v>13</v>
      </c>
      <c r="B112" s="32" t="s">
        <v>9</v>
      </c>
      <c r="C112" s="41" t="s">
        <v>11</v>
      </c>
      <c r="D112" s="54" t="s">
        <v>2</v>
      </c>
      <c r="E112" s="41" t="s">
        <v>3</v>
      </c>
      <c r="F112" s="41" t="s">
        <v>22</v>
      </c>
      <c r="G112" s="42">
        <f>M15</f>
        <v>10000</v>
      </c>
      <c r="H112" s="55" t="s">
        <v>26</v>
      </c>
      <c r="I112" s="44"/>
      <c r="J112" s="45"/>
      <c r="L112" s="36" t="s">
        <v>17</v>
      </c>
      <c r="M112" s="26">
        <f>ROUND(M115/100/12,4)</f>
        <v>1.43E-2</v>
      </c>
      <c r="N112" t="s">
        <v>23</v>
      </c>
    </row>
    <row r="113" spans="1:15">
      <c r="A113" s="27">
        <v>1</v>
      </c>
      <c r="B113" s="29">
        <v>40756</v>
      </c>
      <c r="C113" s="46">
        <f>B113-C109</f>
        <v>28</v>
      </c>
      <c r="D113" s="46">
        <f>ROUND($M$116*G112*C113,0)</f>
        <v>131</v>
      </c>
      <c r="E113" s="46">
        <f>F113-D113</f>
        <v>447</v>
      </c>
      <c r="F113" s="46">
        <f>$O$114</f>
        <v>578</v>
      </c>
      <c r="G113" s="46">
        <f>G112-E113</f>
        <v>9553</v>
      </c>
      <c r="H113" s="48"/>
      <c r="I113" s="48"/>
      <c r="J113" s="35"/>
      <c r="L113" s="37" t="s">
        <v>18</v>
      </c>
      <c r="M113" s="26">
        <v>10000</v>
      </c>
    </row>
    <row r="114" spans="1:15">
      <c r="A114" s="27">
        <v>2</v>
      </c>
      <c r="B114" s="29">
        <v>40791</v>
      </c>
      <c r="C114" s="46">
        <f t="shared" ref="C114:C132" si="20">B114-B113</f>
        <v>35</v>
      </c>
      <c r="D114" s="46">
        <f t="shared" ref="D114:D132" si="21">ROUND($M$116*G113*C114,0)</f>
        <v>157</v>
      </c>
      <c r="E114" s="46">
        <f>F114-D114</f>
        <v>421</v>
      </c>
      <c r="F114" s="46">
        <f t="shared" ref="F114:F131" si="22">$O$114</f>
        <v>578</v>
      </c>
      <c r="G114" s="46">
        <f>G113-E114</f>
        <v>9132</v>
      </c>
      <c r="H114" s="48"/>
      <c r="I114" s="48"/>
      <c r="J114" s="35"/>
      <c r="L114" s="37" t="s">
        <v>19</v>
      </c>
      <c r="M114" s="26">
        <v>20</v>
      </c>
      <c r="N114" t="s">
        <v>24</v>
      </c>
      <c r="O114" s="24">
        <f>ROUND((M112*M113)/(1-(1+M112)^-M114),0)</f>
        <v>578</v>
      </c>
    </row>
    <row r="115" spans="1:15">
      <c r="A115" s="27">
        <v>3</v>
      </c>
      <c r="B115" s="29">
        <v>40819</v>
      </c>
      <c r="C115" s="46">
        <f t="shared" si="20"/>
        <v>28</v>
      </c>
      <c r="D115" s="46">
        <f t="shared" si="21"/>
        <v>120</v>
      </c>
      <c r="E115" s="46">
        <f t="shared" ref="E115:E132" si="23">F115-D115</f>
        <v>458</v>
      </c>
      <c r="F115" s="46">
        <f t="shared" si="22"/>
        <v>578</v>
      </c>
      <c r="G115" s="46">
        <f t="shared" ref="G115:G132" si="24">G114-E115</f>
        <v>8674</v>
      </c>
      <c r="H115" s="48"/>
      <c r="I115" s="48"/>
      <c r="J115" s="35"/>
      <c r="L115" s="37" t="s">
        <v>20</v>
      </c>
      <c r="M115" s="26">
        <v>17.11712</v>
      </c>
    </row>
    <row r="116" spans="1:15">
      <c r="A116" s="27">
        <v>4</v>
      </c>
      <c r="B116" s="29">
        <v>40854</v>
      </c>
      <c r="C116" s="46">
        <f t="shared" si="20"/>
        <v>35</v>
      </c>
      <c r="D116" s="46">
        <f t="shared" si="21"/>
        <v>142</v>
      </c>
      <c r="E116" s="46">
        <f t="shared" si="23"/>
        <v>436</v>
      </c>
      <c r="F116" s="46">
        <f t="shared" si="22"/>
        <v>578</v>
      </c>
      <c r="G116" s="46">
        <f t="shared" si="24"/>
        <v>8238</v>
      </c>
      <c r="H116" s="48"/>
      <c r="I116" s="48"/>
      <c r="J116" s="35"/>
      <c r="L116" s="37" t="s">
        <v>25</v>
      </c>
      <c r="M116" s="26">
        <f>M115/36500</f>
        <v>4.6896219178082192E-4</v>
      </c>
    </row>
    <row r="117" spans="1:15">
      <c r="A117" s="27">
        <v>5</v>
      </c>
      <c r="B117" s="29">
        <v>40882</v>
      </c>
      <c r="C117" s="46">
        <f t="shared" si="20"/>
        <v>28</v>
      </c>
      <c r="D117" s="46">
        <f t="shared" si="21"/>
        <v>108</v>
      </c>
      <c r="E117" s="46">
        <f t="shared" si="23"/>
        <v>470</v>
      </c>
      <c r="F117" s="46">
        <f t="shared" si="22"/>
        <v>578</v>
      </c>
      <c r="G117" s="46">
        <f t="shared" si="24"/>
        <v>7768</v>
      </c>
      <c r="H117" s="48"/>
      <c r="I117" s="48"/>
      <c r="J117" s="35"/>
    </row>
    <row r="118" spans="1:15">
      <c r="A118" s="27">
        <v>6</v>
      </c>
      <c r="B118" s="29">
        <v>40910</v>
      </c>
      <c r="C118" s="46">
        <f t="shared" si="20"/>
        <v>28</v>
      </c>
      <c r="D118" s="46">
        <f t="shared" si="21"/>
        <v>102</v>
      </c>
      <c r="E118" s="46">
        <f t="shared" si="23"/>
        <v>476</v>
      </c>
      <c r="F118" s="46">
        <f t="shared" si="22"/>
        <v>578</v>
      </c>
      <c r="G118" s="46">
        <f t="shared" si="24"/>
        <v>7292</v>
      </c>
      <c r="H118" s="48"/>
      <c r="I118" s="48"/>
      <c r="J118" s="35"/>
    </row>
    <row r="119" spans="1:15">
      <c r="A119" s="27">
        <v>7</v>
      </c>
      <c r="B119" s="29">
        <v>40945</v>
      </c>
      <c r="C119" s="46">
        <f t="shared" si="20"/>
        <v>35</v>
      </c>
      <c r="D119" s="46">
        <f t="shared" si="21"/>
        <v>120</v>
      </c>
      <c r="E119" s="46">
        <f t="shared" si="23"/>
        <v>458</v>
      </c>
      <c r="F119" s="46">
        <f t="shared" si="22"/>
        <v>578</v>
      </c>
      <c r="G119" s="46">
        <f t="shared" si="24"/>
        <v>6834</v>
      </c>
      <c r="H119" s="48"/>
      <c r="I119" s="48"/>
      <c r="J119" s="35"/>
    </row>
    <row r="120" spans="1:15">
      <c r="A120" s="27">
        <v>8</v>
      </c>
      <c r="B120" s="29">
        <v>40973</v>
      </c>
      <c r="C120" s="46">
        <f t="shared" si="20"/>
        <v>28</v>
      </c>
      <c r="D120" s="46">
        <f t="shared" si="21"/>
        <v>90</v>
      </c>
      <c r="E120" s="46">
        <f t="shared" si="23"/>
        <v>488</v>
      </c>
      <c r="F120" s="46">
        <f t="shared" si="22"/>
        <v>578</v>
      </c>
      <c r="G120" s="46">
        <f t="shared" si="24"/>
        <v>6346</v>
      </c>
      <c r="H120" s="48"/>
      <c r="I120" s="48"/>
      <c r="J120" s="35"/>
    </row>
    <row r="121" spans="1:15">
      <c r="A121" s="27">
        <v>9</v>
      </c>
      <c r="B121" s="29">
        <v>41001</v>
      </c>
      <c r="C121" s="46">
        <f t="shared" si="20"/>
        <v>28</v>
      </c>
      <c r="D121" s="46">
        <f t="shared" si="21"/>
        <v>83</v>
      </c>
      <c r="E121" s="46">
        <f t="shared" si="23"/>
        <v>495</v>
      </c>
      <c r="F121" s="46">
        <f t="shared" si="22"/>
        <v>578</v>
      </c>
      <c r="G121" s="46">
        <f t="shared" si="24"/>
        <v>5851</v>
      </c>
      <c r="H121" s="48"/>
      <c r="I121" s="48"/>
      <c r="J121" s="35"/>
    </row>
    <row r="122" spans="1:15">
      <c r="A122" s="27">
        <v>10</v>
      </c>
      <c r="B122" s="29">
        <v>41036</v>
      </c>
      <c r="C122" s="46">
        <f t="shared" si="20"/>
        <v>35</v>
      </c>
      <c r="D122" s="46">
        <f t="shared" si="21"/>
        <v>96</v>
      </c>
      <c r="E122" s="46">
        <f t="shared" si="23"/>
        <v>482</v>
      </c>
      <c r="F122" s="46">
        <f t="shared" si="22"/>
        <v>578</v>
      </c>
      <c r="G122" s="46">
        <f t="shared" si="24"/>
        <v>5369</v>
      </c>
      <c r="H122" s="48"/>
      <c r="I122" s="48"/>
      <c r="J122" s="35"/>
    </row>
    <row r="123" spans="1:15">
      <c r="A123" s="27">
        <v>11</v>
      </c>
      <c r="B123" s="29">
        <v>41064</v>
      </c>
      <c r="C123" s="46">
        <f t="shared" si="20"/>
        <v>28</v>
      </c>
      <c r="D123" s="46">
        <f t="shared" si="21"/>
        <v>71</v>
      </c>
      <c r="E123" s="46">
        <f t="shared" si="23"/>
        <v>507</v>
      </c>
      <c r="F123" s="46">
        <f t="shared" si="22"/>
        <v>578</v>
      </c>
      <c r="G123" s="46">
        <f t="shared" si="24"/>
        <v>4862</v>
      </c>
      <c r="H123" s="48"/>
      <c r="I123" s="48"/>
      <c r="J123" s="35"/>
    </row>
    <row r="124" spans="1:15">
      <c r="A124" s="27">
        <v>12</v>
      </c>
      <c r="B124" s="29">
        <v>41092</v>
      </c>
      <c r="C124" s="46">
        <f t="shared" si="20"/>
        <v>28</v>
      </c>
      <c r="D124" s="46">
        <f t="shared" si="21"/>
        <v>64</v>
      </c>
      <c r="E124" s="46">
        <f t="shared" si="23"/>
        <v>514</v>
      </c>
      <c r="F124" s="46">
        <f t="shared" si="22"/>
        <v>578</v>
      </c>
      <c r="G124" s="46">
        <f t="shared" si="24"/>
        <v>4348</v>
      </c>
      <c r="H124" s="48"/>
      <c r="I124" s="48"/>
      <c r="J124" s="35"/>
    </row>
    <row r="125" spans="1:15">
      <c r="A125" s="27">
        <v>13</v>
      </c>
      <c r="B125" s="29">
        <v>41127</v>
      </c>
      <c r="C125" s="46">
        <f t="shared" si="20"/>
        <v>35</v>
      </c>
      <c r="D125" s="46">
        <f t="shared" si="21"/>
        <v>71</v>
      </c>
      <c r="E125" s="46">
        <f t="shared" si="23"/>
        <v>507</v>
      </c>
      <c r="F125" s="46">
        <f t="shared" si="22"/>
        <v>578</v>
      </c>
      <c r="G125" s="46">
        <f t="shared" si="24"/>
        <v>3841</v>
      </c>
      <c r="H125" s="48"/>
      <c r="I125" s="48"/>
      <c r="J125" s="35"/>
    </row>
    <row r="126" spans="1:15">
      <c r="A126" s="27">
        <v>14</v>
      </c>
      <c r="B126" s="29">
        <v>41155</v>
      </c>
      <c r="C126" s="46">
        <f t="shared" si="20"/>
        <v>28</v>
      </c>
      <c r="D126" s="46">
        <f t="shared" si="21"/>
        <v>50</v>
      </c>
      <c r="E126" s="46">
        <f t="shared" si="23"/>
        <v>528</v>
      </c>
      <c r="F126" s="46">
        <f t="shared" si="22"/>
        <v>578</v>
      </c>
      <c r="G126" s="46">
        <f t="shared" si="24"/>
        <v>3313</v>
      </c>
      <c r="H126" s="48"/>
      <c r="I126" s="48"/>
      <c r="J126" s="35"/>
    </row>
    <row r="127" spans="1:15">
      <c r="A127" s="27">
        <v>15</v>
      </c>
      <c r="B127" s="29">
        <v>41183</v>
      </c>
      <c r="C127" s="46">
        <f t="shared" si="20"/>
        <v>28</v>
      </c>
      <c r="D127" s="46">
        <f t="shared" si="21"/>
        <v>44</v>
      </c>
      <c r="E127" s="46">
        <f t="shared" si="23"/>
        <v>534</v>
      </c>
      <c r="F127" s="46">
        <f t="shared" si="22"/>
        <v>578</v>
      </c>
      <c r="G127" s="46">
        <f t="shared" si="24"/>
        <v>2779</v>
      </c>
      <c r="H127" s="48"/>
      <c r="I127" s="48"/>
      <c r="J127" s="35"/>
    </row>
    <row r="128" spans="1:15">
      <c r="A128" s="27">
        <v>16</v>
      </c>
      <c r="B128" s="29">
        <v>41218</v>
      </c>
      <c r="C128" s="46">
        <f t="shared" si="20"/>
        <v>35</v>
      </c>
      <c r="D128" s="46">
        <f t="shared" si="21"/>
        <v>46</v>
      </c>
      <c r="E128" s="46">
        <f t="shared" si="23"/>
        <v>532</v>
      </c>
      <c r="F128" s="46">
        <f t="shared" si="22"/>
        <v>578</v>
      </c>
      <c r="G128" s="46">
        <f t="shared" si="24"/>
        <v>2247</v>
      </c>
      <c r="H128" s="49"/>
      <c r="I128" s="30"/>
      <c r="J128" s="27"/>
    </row>
    <row r="129" spans="1:10">
      <c r="A129" s="27">
        <v>17</v>
      </c>
      <c r="B129" s="29">
        <v>41246</v>
      </c>
      <c r="C129" s="46">
        <f t="shared" si="20"/>
        <v>28</v>
      </c>
      <c r="D129" s="46">
        <f t="shared" si="21"/>
        <v>30</v>
      </c>
      <c r="E129" s="46">
        <f t="shared" si="23"/>
        <v>548</v>
      </c>
      <c r="F129" s="46">
        <f t="shared" si="22"/>
        <v>578</v>
      </c>
      <c r="G129" s="46">
        <f t="shared" si="24"/>
        <v>1699</v>
      </c>
      <c r="H129" s="49"/>
      <c r="I129" s="30"/>
      <c r="J129" s="27"/>
    </row>
    <row r="130" spans="1:10">
      <c r="A130" s="27">
        <v>18</v>
      </c>
      <c r="B130" s="29">
        <v>41281</v>
      </c>
      <c r="C130" s="46">
        <f t="shared" si="20"/>
        <v>35</v>
      </c>
      <c r="D130" s="46">
        <f t="shared" si="21"/>
        <v>28</v>
      </c>
      <c r="E130" s="46">
        <f t="shared" si="23"/>
        <v>550</v>
      </c>
      <c r="F130" s="46">
        <f t="shared" si="22"/>
        <v>578</v>
      </c>
      <c r="G130" s="46">
        <f t="shared" si="24"/>
        <v>1149</v>
      </c>
      <c r="H130" s="49"/>
      <c r="I130" s="30"/>
      <c r="J130" s="27"/>
    </row>
    <row r="131" spans="1:10">
      <c r="A131" s="27">
        <v>19</v>
      </c>
      <c r="B131" s="29">
        <v>41309</v>
      </c>
      <c r="C131" s="46">
        <f>B131-B130</f>
        <v>28</v>
      </c>
      <c r="D131" s="46">
        <f t="shared" si="21"/>
        <v>15</v>
      </c>
      <c r="E131" s="46">
        <f t="shared" si="23"/>
        <v>563</v>
      </c>
      <c r="F131" s="46">
        <f t="shared" si="22"/>
        <v>578</v>
      </c>
      <c r="G131" s="46">
        <f t="shared" si="24"/>
        <v>586</v>
      </c>
      <c r="H131" s="49"/>
      <c r="I131" s="30"/>
      <c r="J131" s="27"/>
    </row>
    <row r="132" spans="1:10">
      <c r="A132" s="27">
        <v>20</v>
      </c>
      <c r="B132" s="29">
        <v>41337</v>
      </c>
      <c r="C132" s="46">
        <f t="shared" si="20"/>
        <v>28</v>
      </c>
      <c r="D132" s="46">
        <f t="shared" si="21"/>
        <v>8</v>
      </c>
      <c r="E132" s="46">
        <f t="shared" si="23"/>
        <v>586</v>
      </c>
      <c r="F132" s="46">
        <v>594</v>
      </c>
      <c r="G132" s="46">
        <f t="shared" si="24"/>
        <v>0</v>
      </c>
      <c r="H132" s="49">
        <f>F132+G132</f>
        <v>594</v>
      </c>
      <c r="I132" s="30"/>
      <c r="J132" s="27"/>
    </row>
    <row r="133" spans="1:10">
      <c r="A133" s="27"/>
      <c r="B133" s="29"/>
      <c r="C133" s="46"/>
      <c r="D133" s="47"/>
      <c r="E133" s="48"/>
      <c r="F133" s="48"/>
      <c r="G133" s="48"/>
      <c r="H133" s="49"/>
      <c r="I133" s="30"/>
      <c r="J133" s="27"/>
    </row>
    <row r="134" spans="1:10">
      <c r="A134" s="27"/>
      <c r="B134" s="32" t="s">
        <v>5</v>
      </c>
      <c r="C134" s="50">
        <f>SUM(C113:C132)</f>
        <v>609</v>
      </c>
      <c r="D134" s="77">
        <f>SUM(D113:D132)</f>
        <v>1576</v>
      </c>
      <c r="E134" s="58">
        <f>SUM(E113:E132)</f>
        <v>10000</v>
      </c>
      <c r="F134" s="57">
        <f t="shared" ref="F134" si="25">SUM(F113:F127)</f>
        <v>8670</v>
      </c>
      <c r="G134" s="48"/>
      <c r="H134" s="33"/>
      <c r="I134" s="27"/>
      <c r="J134" s="27"/>
    </row>
    <row r="135" spans="1:10">
      <c r="A135" s="27"/>
      <c r="B135" s="32"/>
      <c r="C135" s="50"/>
      <c r="D135" s="53"/>
      <c r="E135" s="53"/>
      <c r="F135" s="53"/>
      <c r="G135" s="48"/>
      <c r="H135" s="48"/>
      <c r="I135" s="27"/>
      <c r="J135" s="35"/>
    </row>
    <row r="137" spans="1:10">
      <c r="B137" s="22"/>
      <c r="D137" s="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N137"/>
  <sheetViews>
    <sheetView workbookViewId="0">
      <pane ySplit="6" topLeftCell="A7" activePane="bottomLeft" state="frozen"/>
      <selection activeCell="B1" sqref="B1"/>
      <selection pane="bottomLeft"/>
    </sheetView>
  </sheetViews>
  <sheetFormatPr defaultRowHeight="15"/>
  <cols>
    <col min="2" max="2" width="15.7109375" bestFit="1" customWidth="1"/>
    <col min="3" max="3" width="10.5703125" bestFit="1" customWidth="1"/>
    <col min="4" max="4" width="16" bestFit="1" customWidth="1"/>
    <col min="5" max="5" width="16.7109375" bestFit="1" customWidth="1"/>
    <col min="6" max="6" width="16" customWidth="1"/>
    <col min="7" max="7" width="12.5703125" customWidth="1"/>
    <col min="8" max="8" width="16" bestFit="1" customWidth="1"/>
    <col min="9" max="9" width="14.85546875" bestFit="1" customWidth="1"/>
    <col min="10" max="10" width="14.85546875" customWidth="1"/>
    <col min="13" max="13" width="15.5703125" bestFit="1" customWidth="1"/>
  </cols>
  <sheetData>
    <row r="1" spans="1:14">
      <c r="B1" s="32" t="s">
        <v>39</v>
      </c>
      <c r="C1" s="33" t="s">
        <v>29</v>
      </c>
      <c r="D1" s="76" t="s">
        <v>40</v>
      </c>
      <c r="E1" s="76" t="s">
        <v>41</v>
      </c>
      <c r="F1" s="34" t="s">
        <v>42</v>
      </c>
      <c r="G1" s="34"/>
      <c r="H1" t="s">
        <v>15</v>
      </c>
    </row>
    <row r="2" spans="1:14">
      <c r="B2" s="29">
        <v>40455</v>
      </c>
      <c r="C2" s="80">
        <f>L17</f>
        <v>17.204999999999998</v>
      </c>
      <c r="D2" s="31">
        <f>D36</f>
        <v>3150</v>
      </c>
      <c r="E2" s="31">
        <f>F15</f>
        <v>1157</v>
      </c>
      <c r="F2" s="34">
        <f>'Pawdep scenario'!D5</f>
        <v>3150</v>
      </c>
      <c r="G2" s="34"/>
    </row>
    <row r="3" spans="1:14">
      <c r="B3" s="29">
        <v>40546</v>
      </c>
      <c r="C3" s="80">
        <f>L49</f>
        <v>17.170000000000002</v>
      </c>
      <c r="D3" s="31">
        <f>D68</f>
        <v>3150</v>
      </c>
      <c r="E3" s="31">
        <f>F47</f>
        <v>1157</v>
      </c>
      <c r="F3" s="34"/>
      <c r="G3" s="34"/>
      <c r="H3" s="4"/>
    </row>
    <row r="4" spans="1:14">
      <c r="B4" s="29">
        <v>40609</v>
      </c>
      <c r="C4" s="80">
        <f>L81</f>
        <v>17.34</v>
      </c>
      <c r="D4" s="31">
        <f>D100</f>
        <v>3150</v>
      </c>
      <c r="E4" s="31">
        <f>F79</f>
        <v>1159</v>
      </c>
      <c r="F4" s="34"/>
      <c r="G4" s="34"/>
      <c r="H4" s="4"/>
      <c r="I4" s="23"/>
    </row>
    <row r="5" spans="1:14">
      <c r="B5" s="29">
        <v>40728</v>
      </c>
      <c r="C5" s="80">
        <f>L115</f>
        <v>17.134</v>
      </c>
      <c r="D5" s="31">
        <f>D134</f>
        <v>3150.3658353528067</v>
      </c>
      <c r="E5" s="31">
        <f>F113</f>
        <v>1157</v>
      </c>
      <c r="F5" s="34"/>
      <c r="G5" s="34"/>
    </row>
    <row r="6" spans="1:14">
      <c r="C6" s="3"/>
      <c r="D6" s="34"/>
      <c r="E6" s="34"/>
      <c r="F6" s="34"/>
      <c r="G6" s="34"/>
      <c r="J6" s="38"/>
    </row>
    <row r="7" spans="1:14">
      <c r="B7" s="2" t="s">
        <v>7</v>
      </c>
      <c r="D7" s="34"/>
      <c r="E7" s="34"/>
      <c r="F7" s="34"/>
      <c r="G7" s="34"/>
      <c r="J7" s="38"/>
    </row>
    <row r="8" spans="1:14">
      <c r="B8" s="2"/>
      <c r="D8" s="34"/>
      <c r="E8" s="34"/>
      <c r="F8" s="34"/>
      <c r="G8" s="34"/>
      <c r="H8" s="25"/>
      <c r="J8" s="38"/>
    </row>
    <row r="9" spans="1:14">
      <c r="B9" t="s">
        <v>6</v>
      </c>
      <c r="C9" s="4">
        <f>L15</f>
        <v>20000</v>
      </c>
      <c r="D9" s="34"/>
      <c r="E9" s="34"/>
      <c r="F9" s="34"/>
      <c r="G9" s="34"/>
      <c r="J9" s="38"/>
    </row>
    <row r="10" spans="1:14">
      <c r="B10" t="s">
        <v>16</v>
      </c>
      <c r="C10" s="4">
        <f>L16</f>
        <v>20</v>
      </c>
      <c r="D10" s="34"/>
      <c r="E10" s="34"/>
      <c r="F10" s="34"/>
      <c r="G10" s="34"/>
      <c r="J10" s="38"/>
    </row>
    <row r="11" spans="1:14">
      <c r="B11" s="24" t="s">
        <v>12</v>
      </c>
      <c r="C11" s="40">
        <v>40455</v>
      </c>
      <c r="D11" s="34"/>
      <c r="E11" s="34"/>
      <c r="F11" s="34"/>
      <c r="G11" s="34"/>
      <c r="J11" s="38"/>
    </row>
    <row r="12" spans="1:14">
      <c r="C12" s="21"/>
      <c r="D12" s="34"/>
      <c r="E12" s="34"/>
      <c r="F12" s="34"/>
      <c r="G12" s="34"/>
      <c r="J12" s="38"/>
    </row>
    <row r="13" spans="1:14">
      <c r="C13" s="3"/>
      <c r="D13" s="34"/>
      <c r="E13" s="34"/>
      <c r="F13" s="34"/>
      <c r="G13" s="34" t="s">
        <v>14</v>
      </c>
      <c r="J13" s="38"/>
    </row>
    <row r="14" spans="1:14">
      <c r="A14" s="32" t="s">
        <v>13</v>
      </c>
      <c r="B14" s="32" t="s">
        <v>9</v>
      </c>
      <c r="C14" s="41" t="s">
        <v>11</v>
      </c>
      <c r="D14" s="42" t="s">
        <v>2</v>
      </c>
      <c r="E14" s="42" t="s">
        <v>3</v>
      </c>
      <c r="F14" s="42" t="s">
        <v>22</v>
      </c>
      <c r="G14" s="42">
        <f>L15</f>
        <v>20000</v>
      </c>
      <c r="H14" s="43" t="s">
        <v>31</v>
      </c>
      <c r="I14" s="44"/>
      <c r="J14" s="45"/>
      <c r="K14" s="36" t="s">
        <v>17</v>
      </c>
      <c r="L14" s="26">
        <f>L17/100/12</f>
        <v>1.4337499999999998E-2</v>
      </c>
      <c r="M14" t="s">
        <v>23</v>
      </c>
    </row>
    <row r="15" spans="1:14">
      <c r="A15" s="27">
        <v>1</v>
      </c>
      <c r="B15" s="29">
        <v>40483</v>
      </c>
      <c r="C15" s="46">
        <f>B15-C11</f>
        <v>28</v>
      </c>
      <c r="D15" s="28">
        <f>ROUND($L$18*G14*C15,0)</f>
        <v>264</v>
      </c>
      <c r="E15" s="46">
        <f>F15-D15</f>
        <v>893</v>
      </c>
      <c r="F15" s="46">
        <f t="shared" ref="F15:F33" si="0">$N$16</f>
        <v>1157</v>
      </c>
      <c r="G15" s="46">
        <f>G14-E15</f>
        <v>19107</v>
      </c>
      <c r="H15" s="27"/>
      <c r="I15" s="48"/>
      <c r="J15" s="35"/>
      <c r="K15" s="37" t="s">
        <v>18</v>
      </c>
      <c r="L15" s="26">
        <v>20000</v>
      </c>
    </row>
    <row r="16" spans="1:14">
      <c r="A16" s="27">
        <v>2</v>
      </c>
      <c r="B16" s="29">
        <v>40518</v>
      </c>
      <c r="C16" s="46">
        <f>B16-B15</f>
        <v>35</v>
      </c>
      <c r="D16" s="28">
        <f t="shared" ref="D16:D34" si="1">ROUND($L$18*G15*C16,0)</f>
        <v>315</v>
      </c>
      <c r="E16" s="46">
        <f>F16-D16</f>
        <v>842</v>
      </c>
      <c r="F16" s="46">
        <f t="shared" si="0"/>
        <v>1157</v>
      </c>
      <c r="G16" s="46">
        <f>G15-E16</f>
        <v>18265</v>
      </c>
      <c r="H16" s="27"/>
      <c r="I16" s="48"/>
      <c r="J16" s="35"/>
      <c r="K16" s="37" t="s">
        <v>19</v>
      </c>
      <c r="L16" s="26">
        <v>20</v>
      </c>
      <c r="M16" t="s">
        <v>24</v>
      </c>
      <c r="N16" s="24">
        <f>ROUND((L14*L15)/(1-(1+L14)^-L16),0)</f>
        <v>1157</v>
      </c>
    </row>
    <row r="17" spans="1:12">
      <c r="A17" s="27">
        <v>3</v>
      </c>
      <c r="B17" s="29">
        <v>40546</v>
      </c>
      <c r="C17" s="46">
        <f t="shared" ref="C17:C28" si="2">B17-B16</f>
        <v>28</v>
      </c>
      <c r="D17" s="28">
        <f t="shared" si="1"/>
        <v>241</v>
      </c>
      <c r="E17" s="46">
        <f t="shared" ref="E17:E34" si="3">F17-D17</f>
        <v>916</v>
      </c>
      <c r="F17" s="46">
        <f t="shared" si="0"/>
        <v>1157</v>
      </c>
      <c r="G17" s="46">
        <f t="shared" ref="G17:G34" si="4">G16-E17</f>
        <v>17349</v>
      </c>
      <c r="H17" s="27"/>
      <c r="I17" s="48"/>
      <c r="J17" s="35"/>
      <c r="K17" s="37" t="s">
        <v>20</v>
      </c>
      <c r="L17" s="26">
        <v>17.204999999999998</v>
      </c>
    </row>
    <row r="18" spans="1:12">
      <c r="A18" s="27">
        <v>4</v>
      </c>
      <c r="B18" s="29">
        <v>40581</v>
      </c>
      <c r="C18" s="46">
        <f>B18-B17</f>
        <v>35</v>
      </c>
      <c r="D18" s="28">
        <f t="shared" si="1"/>
        <v>286</v>
      </c>
      <c r="E18" s="46">
        <f t="shared" si="3"/>
        <v>871</v>
      </c>
      <c r="F18" s="46">
        <f t="shared" si="0"/>
        <v>1157</v>
      </c>
      <c r="G18" s="46">
        <f t="shared" si="4"/>
        <v>16478</v>
      </c>
      <c r="H18" s="27"/>
      <c r="I18" s="48"/>
      <c r="J18" s="35"/>
      <c r="K18" s="37" t="s">
        <v>25</v>
      </c>
      <c r="L18" s="26">
        <f>L17/36500</f>
        <v>4.7136986301369861E-4</v>
      </c>
    </row>
    <row r="19" spans="1:12">
      <c r="A19" s="27">
        <v>5</v>
      </c>
      <c r="B19" s="29">
        <v>40609</v>
      </c>
      <c r="C19" s="46">
        <f>B19-B18</f>
        <v>28</v>
      </c>
      <c r="D19" s="28">
        <f t="shared" si="1"/>
        <v>217</v>
      </c>
      <c r="E19" s="46">
        <f t="shared" si="3"/>
        <v>940</v>
      </c>
      <c r="F19" s="46">
        <f t="shared" si="0"/>
        <v>1157</v>
      </c>
      <c r="G19" s="46">
        <f t="shared" si="4"/>
        <v>15538</v>
      </c>
      <c r="H19" s="27"/>
      <c r="I19" s="48"/>
      <c r="J19" s="35"/>
    </row>
    <row r="20" spans="1:12">
      <c r="A20" s="27">
        <v>6</v>
      </c>
      <c r="B20" s="29">
        <v>40637</v>
      </c>
      <c r="C20" s="46">
        <f>B20-B19</f>
        <v>28</v>
      </c>
      <c r="D20" s="28">
        <f t="shared" si="1"/>
        <v>205</v>
      </c>
      <c r="E20" s="46">
        <f t="shared" si="3"/>
        <v>952</v>
      </c>
      <c r="F20" s="46">
        <f t="shared" si="0"/>
        <v>1157</v>
      </c>
      <c r="G20" s="46">
        <f t="shared" si="4"/>
        <v>14586</v>
      </c>
      <c r="H20" s="27"/>
      <c r="I20" s="48"/>
      <c r="J20" s="35"/>
    </row>
    <row r="21" spans="1:12">
      <c r="A21" s="27">
        <v>7</v>
      </c>
      <c r="B21" s="29">
        <v>40665</v>
      </c>
      <c r="C21" s="46">
        <f t="shared" si="2"/>
        <v>28</v>
      </c>
      <c r="D21" s="28">
        <f t="shared" si="1"/>
        <v>193</v>
      </c>
      <c r="E21" s="46">
        <f t="shared" si="3"/>
        <v>964</v>
      </c>
      <c r="F21" s="46">
        <f t="shared" si="0"/>
        <v>1157</v>
      </c>
      <c r="G21" s="46">
        <f t="shared" si="4"/>
        <v>13622</v>
      </c>
      <c r="H21" s="27"/>
      <c r="I21" s="48"/>
      <c r="J21" s="35"/>
    </row>
    <row r="22" spans="1:12">
      <c r="A22" s="27">
        <v>8</v>
      </c>
      <c r="B22" s="29">
        <v>40700</v>
      </c>
      <c r="C22" s="46">
        <f t="shared" si="2"/>
        <v>35</v>
      </c>
      <c r="D22" s="28">
        <f t="shared" si="1"/>
        <v>225</v>
      </c>
      <c r="E22" s="46">
        <f t="shared" si="3"/>
        <v>932</v>
      </c>
      <c r="F22" s="46">
        <f t="shared" si="0"/>
        <v>1157</v>
      </c>
      <c r="G22" s="46">
        <f t="shared" si="4"/>
        <v>12690</v>
      </c>
      <c r="H22" s="27"/>
      <c r="I22" s="48"/>
      <c r="J22" s="35"/>
    </row>
    <row r="23" spans="1:12">
      <c r="A23" s="27">
        <v>9</v>
      </c>
      <c r="B23" s="29">
        <v>40728</v>
      </c>
      <c r="C23" s="46">
        <f t="shared" si="2"/>
        <v>28</v>
      </c>
      <c r="D23" s="28">
        <f t="shared" si="1"/>
        <v>167</v>
      </c>
      <c r="E23" s="46">
        <f t="shared" si="3"/>
        <v>990</v>
      </c>
      <c r="F23" s="46">
        <f t="shared" si="0"/>
        <v>1157</v>
      </c>
      <c r="G23" s="46">
        <f t="shared" si="4"/>
        <v>11700</v>
      </c>
      <c r="H23" s="27"/>
      <c r="I23" s="48"/>
      <c r="J23" s="35"/>
    </row>
    <row r="24" spans="1:12">
      <c r="A24" s="27">
        <v>10</v>
      </c>
      <c r="B24" s="29">
        <v>40756</v>
      </c>
      <c r="C24" s="46">
        <f t="shared" si="2"/>
        <v>28</v>
      </c>
      <c r="D24" s="28">
        <f t="shared" si="1"/>
        <v>154</v>
      </c>
      <c r="E24" s="46">
        <f t="shared" si="3"/>
        <v>1003</v>
      </c>
      <c r="F24" s="46">
        <f t="shared" si="0"/>
        <v>1157</v>
      </c>
      <c r="G24" s="46">
        <f t="shared" si="4"/>
        <v>10697</v>
      </c>
      <c r="H24" s="27"/>
      <c r="I24" s="48"/>
      <c r="J24" s="35"/>
    </row>
    <row r="25" spans="1:12">
      <c r="A25" s="27">
        <v>11</v>
      </c>
      <c r="B25" s="29">
        <v>40791</v>
      </c>
      <c r="C25" s="46">
        <f t="shared" si="2"/>
        <v>35</v>
      </c>
      <c r="D25" s="28">
        <f t="shared" si="1"/>
        <v>176</v>
      </c>
      <c r="E25" s="46">
        <f t="shared" si="3"/>
        <v>981</v>
      </c>
      <c r="F25" s="46">
        <f t="shared" si="0"/>
        <v>1157</v>
      </c>
      <c r="G25" s="46">
        <f t="shared" si="4"/>
        <v>9716</v>
      </c>
      <c r="H25" s="27"/>
      <c r="I25" s="48"/>
      <c r="J25" s="35"/>
    </row>
    <row r="26" spans="1:12">
      <c r="A26" s="27">
        <v>12</v>
      </c>
      <c r="B26" s="29">
        <v>40819</v>
      </c>
      <c r="C26" s="46">
        <f t="shared" si="2"/>
        <v>28</v>
      </c>
      <c r="D26" s="28">
        <f t="shared" si="1"/>
        <v>128</v>
      </c>
      <c r="E26" s="46">
        <f t="shared" si="3"/>
        <v>1029</v>
      </c>
      <c r="F26" s="46">
        <f t="shared" si="0"/>
        <v>1157</v>
      </c>
      <c r="G26" s="46">
        <f t="shared" si="4"/>
        <v>8687</v>
      </c>
      <c r="H26" s="27"/>
      <c r="I26" s="48"/>
      <c r="J26" s="35"/>
    </row>
    <row r="27" spans="1:12">
      <c r="A27" s="27">
        <v>13</v>
      </c>
      <c r="B27" s="29">
        <v>40854</v>
      </c>
      <c r="C27" s="46">
        <f t="shared" si="2"/>
        <v>35</v>
      </c>
      <c r="D27" s="28">
        <f t="shared" si="1"/>
        <v>143</v>
      </c>
      <c r="E27" s="46">
        <f t="shared" si="3"/>
        <v>1014</v>
      </c>
      <c r="F27" s="46">
        <f t="shared" si="0"/>
        <v>1157</v>
      </c>
      <c r="G27" s="46">
        <f t="shared" si="4"/>
        <v>7673</v>
      </c>
      <c r="H27" s="27"/>
      <c r="I27" s="48"/>
      <c r="J27" s="35"/>
    </row>
    <row r="28" spans="1:12">
      <c r="A28" s="27">
        <v>14</v>
      </c>
      <c r="B28" s="29">
        <v>40882</v>
      </c>
      <c r="C28" s="46">
        <f t="shared" si="2"/>
        <v>28</v>
      </c>
      <c r="D28" s="28">
        <f t="shared" si="1"/>
        <v>101</v>
      </c>
      <c r="E28" s="46">
        <f t="shared" si="3"/>
        <v>1056</v>
      </c>
      <c r="F28" s="46">
        <f t="shared" si="0"/>
        <v>1157</v>
      </c>
      <c r="G28" s="46">
        <f t="shared" si="4"/>
        <v>6617</v>
      </c>
      <c r="H28" s="27"/>
      <c r="I28" s="48"/>
      <c r="J28" s="35"/>
    </row>
    <row r="29" spans="1:12">
      <c r="A29" s="27">
        <v>15</v>
      </c>
      <c r="B29" s="29">
        <v>40910</v>
      </c>
      <c r="C29" s="46">
        <f>B29-B28</f>
        <v>28</v>
      </c>
      <c r="D29" s="28">
        <f t="shared" si="1"/>
        <v>87</v>
      </c>
      <c r="E29" s="46">
        <f t="shared" si="3"/>
        <v>1070</v>
      </c>
      <c r="F29" s="46">
        <f t="shared" si="0"/>
        <v>1157</v>
      </c>
      <c r="G29" s="46">
        <f t="shared" si="4"/>
        <v>5547</v>
      </c>
      <c r="H29" s="49"/>
      <c r="I29" s="48"/>
      <c r="J29" s="35"/>
    </row>
    <row r="30" spans="1:12">
      <c r="A30" s="27">
        <v>16</v>
      </c>
      <c r="B30" s="29">
        <v>40945</v>
      </c>
      <c r="C30" s="46">
        <f t="shared" ref="C30:C34" si="5">B30-B29</f>
        <v>35</v>
      </c>
      <c r="D30" s="28">
        <f t="shared" si="1"/>
        <v>92</v>
      </c>
      <c r="E30" s="46">
        <f t="shared" si="3"/>
        <v>1065</v>
      </c>
      <c r="F30" s="46">
        <f t="shared" si="0"/>
        <v>1157</v>
      </c>
      <c r="G30" s="46">
        <f t="shared" si="4"/>
        <v>4482</v>
      </c>
      <c r="H30" s="49"/>
      <c r="I30" s="30"/>
      <c r="J30" s="27"/>
    </row>
    <row r="31" spans="1:12">
      <c r="A31" s="27">
        <v>17</v>
      </c>
      <c r="B31" s="29">
        <v>40973</v>
      </c>
      <c r="C31" s="46">
        <f t="shared" si="5"/>
        <v>28</v>
      </c>
      <c r="D31" s="28">
        <f t="shared" si="1"/>
        <v>59</v>
      </c>
      <c r="E31" s="46">
        <f t="shared" si="3"/>
        <v>1098</v>
      </c>
      <c r="F31" s="46">
        <f t="shared" si="0"/>
        <v>1157</v>
      </c>
      <c r="G31" s="46">
        <f t="shared" si="4"/>
        <v>3384</v>
      </c>
      <c r="H31" s="49"/>
      <c r="I31" s="30"/>
      <c r="J31" s="27"/>
    </row>
    <row r="32" spans="1:12">
      <c r="A32" s="27">
        <v>18</v>
      </c>
      <c r="B32" s="29">
        <v>41001</v>
      </c>
      <c r="C32" s="46">
        <f t="shared" si="5"/>
        <v>28</v>
      </c>
      <c r="D32" s="28">
        <f t="shared" si="1"/>
        <v>45</v>
      </c>
      <c r="E32" s="46">
        <f t="shared" si="3"/>
        <v>1112</v>
      </c>
      <c r="F32" s="46">
        <f t="shared" si="0"/>
        <v>1157</v>
      </c>
      <c r="G32" s="46">
        <f t="shared" si="4"/>
        <v>2272</v>
      </c>
      <c r="H32" s="49"/>
      <c r="I32" s="30"/>
      <c r="J32" s="27"/>
    </row>
    <row r="33" spans="1:14">
      <c r="A33" s="27">
        <v>19</v>
      </c>
      <c r="B33" s="29">
        <v>41036</v>
      </c>
      <c r="C33" s="46">
        <f t="shared" si="5"/>
        <v>35</v>
      </c>
      <c r="D33" s="28">
        <f t="shared" si="1"/>
        <v>37</v>
      </c>
      <c r="E33" s="46">
        <f t="shared" si="3"/>
        <v>1120</v>
      </c>
      <c r="F33" s="46">
        <f t="shared" si="0"/>
        <v>1157</v>
      </c>
      <c r="G33" s="46">
        <f t="shared" si="4"/>
        <v>1152</v>
      </c>
      <c r="H33" s="49"/>
      <c r="I33" s="30"/>
      <c r="J33" s="27"/>
    </row>
    <row r="34" spans="1:14">
      <c r="A34" s="27">
        <v>20</v>
      </c>
      <c r="B34" s="29">
        <v>41064</v>
      </c>
      <c r="C34" s="46">
        <f t="shared" si="5"/>
        <v>28</v>
      </c>
      <c r="D34" s="28">
        <f t="shared" si="1"/>
        <v>15</v>
      </c>
      <c r="E34" s="46">
        <f t="shared" si="3"/>
        <v>1152</v>
      </c>
      <c r="F34" s="46">
        <v>1167</v>
      </c>
      <c r="G34" s="46">
        <f t="shared" si="4"/>
        <v>0</v>
      </c>
      <c r="H34" s="49">
        <f>F34+G34</f>
        <v>1167</v>
      </c>
      <c r="I34" s="30"/>
      <c r="J34" s="27"/>
    </row>
    <row r="35" spans="1:14">
      <c r="A35" s="27"/>
      <c r="B35" s="29"/>
      <c r="C35" s="46"/>
      <c r="D35" s="47"/>
      <c r="E35" s="48"/>
      <c r="F35" s="48"/>
      <c r="G35" s="48"/>
      <c r="H35" s="49"/>
      <c r="I35" s="30"/>
      <c r="J35" s="27"/>
    </row>
    <row r="36" spans="1:14">
      <c r="A36" s="27"/>
      <c r="B36" s="32" t="s">
        <v>5</v>
      </c>
      <c r="C36" s="50">
        <f>SUM(C15:C34)</f>
        <v>609</v>
      </c>
      <c r="D36" s="57">
        <f>SUM(D15:D34)</f>
        <v>3150</v>
      </c>
      <c r="E36" s="58">
        <f>SUM(E15:E34)</f>
        <v>20000</v>
      </c>
      <c r="F36" s="57">
        <f t="shared" ref="F36" si="6">SUM(F15:F29)</f>
        <v>17355</v>
      </c>
      <c r="G36" s="48"/>
      <c r="H36" s="33"/>
      <c r="I36" s="27"/>
      <c r="J36" s="27"/>
    </row>
    <row r="37" spans="1:14">
      <c r="A37" s="27"/>
      <c r="B37" s="32"/>
      <c r="C37" s="50"/>
      <c r="D37" s="51"/>
      <c r="E37" s="52"/>
      <c r="F37" s="53"/>
      <c r="G37" s="48"/>
      <c r="H37" s="33"/>
      <c r="I37" s="27"/>
      <c r="J37" s="35"/>
    </row>
    <row r="39" spans="1:14">
      <c r="B39" s="2" t="s">
        <v>10</v>
      </c>
      <c r="D39" s="1"/>
    </row>
    <row r="40" spans="1:14">
      <c r="B40" s="2"/>
      <c r="D40" s="1"/>
      <c r="H40" s="25"/>
    </row>
    <row r="41" spans="1:14">
      <c r="B41" t="s">
        <v>6</v>
      </c>
      <c r="C41" s="4">
        <f>L15</f>
        <v>20000</v>
      </c>
      <c r="D41" s="1"/>
    </row>
    <row r="42" spans="1:14">
      <c r="B42" t="s">
        <v>16</v>
      </c>
      <c r="C42" s="4">
        <f>L16</f>
        <v>20</v>
      </c>
      <c r="D42" s="1"/>
    </row>
    <row r="43" spans="1:14">
      <c r="B43" s="24" t="s">
        <v>12</v>
      </c>
      <c r="C43" s="40">
        <v>40546</v>
      </c>
      <c r="D43" s="1"/>
    </row>
    <row r="44" spans="1:14">
      <c r="C44" s="21"/>
      <c r="D44" s="1"/>
    </row>
    <row r="45" spans="1:14">
      <c r="C45" s="3"/>
      <c r="D45" s="1"/>
      <c r="G45" t="s">
        <v>14</v>
      </c>
    </row>
    <row r="46" spans="1:14">
      <c r="A46" s="32" t="s">
        <v>13</v>
      </c>
      <c r="B46" s="32" t="s">
        <v>9</v>
      </c>
      <c r="C46" s="41" t="s">
        <v>11</v>
      </c>
      <c r="D46" s="54" t="s">
        <v>2</v>
      </c>
      <c r="E46" s="41" t="s">
        <v>3</v>
      </c>
      <c r="F46" s="41" t="s">
        <v>22</v>
      </c>
      <c r="G46" s="42">
        <f>L15</f>
        <v>20000</v>
      </c>
      <c r="H46" s="56" t="s">
        <v>26</v>
      </c>
      <c r="I46" s="44"/>
      <c r="J46" s="45"/>
      <c r="K46" s="36" t="s">
        <v>17</v>
      </c>
      <c r="L46" s="26">
        <f>L49/100/12</f>
        <v>1.4308333333333334E-2</v>
      </c>
      <c r="M46" t="s">
        <v>23</v>
      </c>
    </row>
    <row r="47" spans="1:14">
      <c r="A47" s="27">
        <v>1</v>
      </c>
      <c r="B47" s="29">
        <v>40581</v>
      </c>
      <c r="C47" s="46">
        <f>B47-C43</f>
        <v>35</v>
      </c>
      <c r="D47" s="48">
        <f>ROUND($L$50*G46*C47,0)</f>
        <v>329</v>
      </c>
      <c r="E47" s="48">
        <f>F47-D47</f>
        <v>828</v>
      </c>
      <c r="F47" s="48">
        <f>$N$48</f>
        <v>1157</v>
      </c>
      <c r="G47" s="48">
        <f>G46-E47</f>
        <v>19172</v>
      </c>
      <c r="H47" s="48"/>
      <c r="I47" s="48"/>
      <c r="J47" s="35"/>
      <c r="K47" s="37" t="s">
        <v>18</v>
      </c>
      <c r="L47" s="26">
        <v>20000</v>
      </c>
    </row>
    <row r="48" spans="1:14">
      <c r="A48" s="27">
        <v>2</v>
      </c>
      <c r="B48" s="29">
        <v>40609</v>
      </c>
      <c r="C48" s="46">
        <f>B48-B47</f>
        <v>28</v>
      </c>
      <c r="D48" s="48">
        <f t="shared" ref="D48:D66" si="7">ROUND($L$50*G47*C48,0)</f>
        <v>253</v>
      </c>
      <c r="E48" s="48">
        <f>F48-D48</f>
        <v>904</v>
      </c>
      <c r="F48" s="48">
        <f t="shared" ref="F48:F65" si="8">$N$48</f>
        <v>1157</v>
      </c>
      <c r="G48" s="48">
        <f>G47-E48</f>
        <v>18268</v>
      </c>
      <c r="H48" s="48"/>
      <c r="I48" s="48"/>
      <c r="J48" s="35"/>
      <c r="K48" s="37" t="s">
        <v>19</v>
      </c>
      <c r="L48" s="26">
        <v>20</v>
      </c>
      <c r="M48" t="s">
        <v>24</v>
      </c>
      <c r="N48" s="24">
        <f>ROUND((L46*L47)/(1-(1+L46)^-L48),0)</f>
        <v>1157</v>
      </c>
    </row>
    <row r="49" spans="1:12">
      <c r="A49" s="27">
        <v>3</v>
      </c>
      <c r="B49" s="29">
        <v>40637</v>
      </c>
      <c r="C49" s="46">
        <f t="shared" ref="C49:C60" si="9">B49-B48</f>
        <v>28</v>
      </c>
      <c r="D49" s="48">
        <f t="shared" si="7"/>
        <v>241</v>
      </c>
      <c r="E49" s="48">
        <f t="shared" ref="E49:E66" si="10">F49-D49</f>
        <v>916</v>
      </c>
      <c r="F49" s="48">
        <f t="shared" si="8"/>
        <v>1157</v>
      </c>
      <c r="G49" s="48">
        <f t="shared" ref="G49:G66" si="11">G48-E49</f>
        <v>17352</v>
      </c>
      <c r="H49" s="48"/>
      <c r="I49" s="48"/>
      <c r="J49" s="35"/>
      <c r="K49" s="37" t="s">
        <v>20</v>
      </c>
      <c r="L49" s="26">
        <v>17.170000000000002</v>
      </c>
    </row>
    <row r="50" spans="1:12">
      <c r="A50" s="27">
        <v>4</v>
      </c>
      <c r="B50" s="29">
        <v>40665</v>
      </c>
      <c r="C50" s="46">
        <f>B50-B49</f>
        <v>28</v>
      </c>
      <c r="D50" s="48">
        <f t="shared" si="7"/>
        <v>229</v>
      </c>
      <c r="E50" s="48">
        <f t="shared" si="10"/>
        <v>928</v>
      </c>
      <c r="F50" s="48">
        <f t="shared" si="8"/>
        <v>1157</v>
      </c>
      <c r="G50" s="48">
        <f t="shared" si="11"/>
        <v>16424</v>
      </c>
      <c r="H50" s="48"/>
      <c r="I50" s="48"/>
      <c r="J50" s="35"/>
      <c r="K50" s="37" t="s">
        <v>25</v>
      </c>
      <c r="L50" s="26">
        <f>L49/36500</f>
        <v>4.7041095890410964E-4</v>
      </c>
    </row>
    <row r="51" spans="1:12">
      <c r="A51" s="27">
        <v>5</v>
      </c>
      <c r="B51" s="29">
        <v>40700</v>
      </c>
      <c r="C51" s="46">
        <f>B51-B50</f>
        <v>35</v>
      </c>
      <c r="D51" s="48">
        <f t="shared" si="7"/>
        <v>270</v>
      </c>
      <c r="E51" s="48">
        <f t="shared" si="10"/>
        <v>887</v>
      </c>
      <c r="F51" s="48">
        <f t="shared" si="8"/>
        <v>1157</v>
      </c>
      <c r="G51" s="48">
        <f t="shared" si="11"/>
        <v>15537</v>
      </c>
      <c r="H51" s="48"/>
      <c r="I51" s="48"/>
      <c r="J51" s="35"/>
    </row>
    <row r="52" spans="1:12">
      <c r="A52" s="27">
        <v>6</v>
      </c>
      <c r="B52" s="29">
        <v>40728</v>
      </c>
      <c r="C52" s="46">
        <f>B52-B51</f>
        <v>28</v>
      </c>
      <c r="D52" s="48">
        <f t="shared" si="7"/>
        <v>205</v>
      </c>
      <c r="E52" s="48">
        <f t="shared" si="10"/>
        <v>952</v>
      </c>
      <c r="F52" s="48">
        <f t="shared" si="8"/>
        <v>1157</v>
      </c>
      <c r="G52" s="48">
        <f t="shared" si="11"/>
        <v>14585</v>
      </c>
      <c r="H52" s="48"/>
      <c r="I52" s="48"/>
      <c r="J52" s="35"/>
    </row>
    <row r="53" spans="1:12">
      <c r="A53" s="27">
        <v>7</v>
      </c>
      <c r="B53" s="29">
        <v>40756</v>
      </c>
      <c r="C53" s="46">
        <f t="shared" si="9"/>
        <v>28</v>
      </c>
      <c r="D53" s="48">
        <f t="shared" si="7"/>
        <v>192</v>
      </c>
      <c r="E53" s="48">
        <f t="shared" si="10"/>
        <v>965</v>
      </c>
      <c r="F53" s="48">
        <f t="shared" si="8"/>
        <v>1157</v>
      </c>
      <c r="G53" s="48">
        <f t="shared" si="11"/>
        <v>13620</v>
      </c>
      <c r="H53" s="48"/>
      <c r="I53" s="48"/>
      <c r="J53" s="35"/>
    </row>
    <row r="54" spans="1:12">
      <c r="A54" s="27">
        <v>8</v>
      </c>
      <c r="B54" s="29">
        <v>40791</v>
      </c>
      <c r="C54" s="46">
        <f t="shared" si="9"/>
        <v>35</v>
      </c>
      <c r="D54" s="48">
        <f t="shared" si="7"/>
        <v>224</v>
      </c>
      <c r="E54" s="48">
        <f t="shared" si="10"/>
        <v>933</v>
      </c>
      <c r="F54" s="48">
        <f t="shared" si="8"/>
        <v>1157</v>
      </c>
      <c r="G54" s="48">
        <f t="shared" si="11"/>
        <v>12687</v>
      </c>
      <c r="H54" s="48"/>
      <c r="I54" s="48"/>
      <c r="J54" s="35"/>
    </row>
    <row r="55" spans="1:12">
      <c r="A55" s="27">
        <v>9</v>
      </c>
      <c r="B55" s="29">
        <v>40819</v>
      </c>
      <c r="C55" s="46">
        <f t="shared" si="9"/>
        <v>28</v>
      </c>
      <c r="D55" s="48">
        <f t="shared" si="7"/>
        <v>167</v>
      </c>
      <c r="E55" s="48">
        <f t="shared" si="10"/>
        <v>990</v>
      </c>
      <c r="F55" s="48">
        <f t="shared" si="8"/>
        <v>1157</v>
      </c>
      <c r="G55" s="48">
        <f t="shared" si="11"/>
        <v>11697</v>
      </c>
      <c r="H55" s="48"/>
      <c r="I55" s="48"/>
      <c r="J55" s="35"/>
    </row>
    <row r="56" spans="1:12">
      <c r="A56" s="27">
        <v>10</v>
      </c>
      <c r="B56" s="29">
        <v>40854</v>
      </c>
      <c r="C56" s="46">
        <f t="shared" si="9"/>
        <v>35</v>
      </c>
      <c r="D56" s="48">
        <f t="shared" si="7"/>
        <v>193</v>
      </c>
      <c r="E56" s="48">
        <f t="shared" si="10"/>
        <v>964</v>
      </c>
      <c r="F56" s="48">
        <f t="shared" si="8"/>
        <v>1157</v>
      </c>
      <c r="G56" s="48">
        <f t="shared" si="11"/>
        <v>10733</v>
      </c>
      <c r="H56" s="48"/>
      <c r="I56" s="48"/>
      <c r="J56" s="35"/>
    </row>
    <row r="57" spans="1:12">
      <c r="A57" s="27">
        <v>11</v>
      </c>
      <c r="B57" s="29">
        <v>40882</v>
      </c>
      <c r="C57" s="46">
        <f t="shared" si="9"/>
        <v>28</v>
      </c>
      <c r="D57" s="48">
        <f t="shared" si="7"/>
        <v>141</v>
      </c>
      <c r="E57" s="48">
        <f t="shared" si="10"/>
        <v>1016</v>
      </c>
      <c r="F57" s="48">
        <f t="shared" si="8"/>
        <v>1157</v>
      </c>
      <c r="G57" s="48">
        <f t="shared" si="11"/>
        <v>9717</v>
      </c>
      <c r="H57" s="48"/>
      <c r="I57" s="48"/>
      <c r="J57" s="35"/>
    </row>
    <row r="58" spans="1:12">
      <c r="A58" s="27">
        <v>12</v>
      </c>
      <c r="B58" s="29">
        <v>40910</v>
      </c>
      <c r="C58" s="46">
        <f t="shared" si="9"/>
        <v>28</v>
      </c>
      <c r="D58" s="48">
        <f t="shared" si="7"/>
        <v>128</v>
      </c>
      <c r="E58" s="48">
        <f t="shared" si="10"/>
        <v>1029</v>
      </c>
      <c r="F58" s="48">
        <f t="shared" si="8"/>
        <v>1157</v>
      </c>
      <c r="G58" s="48">
        <f t="shared" si="11"/>
        <v>8688</v>
      </c>
      <c r="H58" s="48"/>
      <c r="I58" s="48"/>
      <c r="J58" s="35"/>
    </row>
    <row r="59" spans="1:12">
      <c r="A59" s="27">
        <v>13</v>
      </c>
      <c r="B59" s="29">
        <v>40945</v>
      </c>
      <c r="C59" s="46">
        <f t="shared" si="9"/>
        <v>35</v>
      </c>
      <c r="D59" s="48">
        <f t="shared" si="7"/>
        <v>143</v>
      </c>
      <c r="E59" s="48">
        <f t="shared" si="10"/>
        <v>1014</v>
      </c>
      <c r="F59" s="48">
        <f t="shared" si="8"/>
        <v>1157</v>
      </c>
      <c r="G59" s="48">
        <f t="shared" si="11"/>
        <v>7674</v>
      </c>
      <c r="H59" s="48"/>
      <c r="I59" s="48"/>
      <c r="J59" s="35"/>
    </row>
    <row r="60" spans="1:12">
      <c r="A60" s="27">
        <v>14</v>
      </c>
      <c r="B60" s="29">
        <v>40973</v>
      </c>
      <c r="C60" s="46">
        <f t="shared" si="9"/>
        <v>28</v>
      </c>
      <c r="D60" s="48">
        <f t="shared" si="7"/>
        <v>101</v>
      </c>
      <c r="E60" s="48">
        <f t="shared" si="10"/>
        <v>1056</v>
      </c>
      <c r="F60" s="48">
        <f t="shared" si="8"/>
        <v>1157</v>
      </c>
      <c r="G60" s="48">
        <f t="shared" si="11"/>
        <v>6618</v>
      </c>
      <c r="H60" s="48"/>
      <c r="I60" s="48"/>
      <c r="J60" s="35"/>
    </row>
    <row r="61" spans="1:12">
      <c r="A61" s="59">
        <v>15</v>
      </c>
      <c r="B61" s="60">
        <v>41001</v>
      </c>
      <c r="C61" s="61">
        <f>B61-B60</f>
        <v>28</v>
      </c>
      <c r="D61" s="48">
        <f t="shared" si="7"/>
        <v>87</v>
      </c>
      <c r="E61" s="62">
        <f t="shared" si="10"/>
        <v>1070</v>
      </c>
      <c r="F61" s="48">
        <f t="shared" si="8"/>
        <v>1157</v>
      </c>
      <c r="G61" s="62">
        <f t="shared" si="11"/>
        <v>5548</v>
      </c>
      <c r="H61" s="62"/>
      <c r="I61" s="62"/>
      <c r="J61" s="63"/>
    </row>
    <row r="62" spans="1:12" s="27" customFormat="1">
      <c r="A62" s="27">
        <v>16</v>
      </c>
      <c r="B62" s="29">
        <v>41036</v>
      </c>
      <c r="C62" s="46">
        <f t="shared" ref="C62:C66" si="12">B62-B61</f>
        <v>35</v>
      </c>
      <c r="D62" s="48">
        <f t="shared" si="7"/>
        <v>91</v>
      </c>
      <c r="E62" s="48">
        <f t="shared" si="10"/>
        <v>1066</v>
      </c>
      <c r="F62" s="48">
        <f t="shared" si="8"/>
        <v>1157</v>
      </c>
      <c r="G62" s="48">
        <f t="shared" si="11"/>
        <v>4482</v>
      </c>
      <c r="H62" s="49"/>
      <c r="I62" s="30"/>
    </row>
    <row r="63" spans="1:12" s="27" customFormat="1">
      <c r="A63" s="27">
        <v>17</v>
      </c>
      <c r="B63" s="29">
        <v>41064</v>
      </c>
      <c r="C63" s="46">
        <f t="shared" si="12"/>
        <v>28</v>
      </c>
      <c r="D63" s="48">
        <f t="shared" si="7"/>
        <v>59</v>
      </c>
      <c r="E63" s="48">
        <f t="shared" si="10"/>
        <v>1098</v>
      </c>
      <c r="F63" s="48">
        <f t="shared" si="8"/>
        <v>1157</v>
      </c>
      <c r="G63" s="48">
        <f t="shared" si="11"/>
        <v>3384</v>
      </c>
      <c r="H63" s="49"/>
      <c r="I63" s="30"/>
    </row>
    <row r="64" spans="1:12" s="27" customFormat="1">
      <c r="A64" s="27">
        <v>18</v>
      </c>
      <c r="B64" s="29">
        <v>41092</v>
      </c>
      <c r="C64" s="46">
        <f t="shared" si="12"/>
        <v>28</v>
      </c>
      <c r="D64" s="48">
        <f t="shared" si="7"/>
        <v>45</v>
      </c>
      <c r="E64" s="48">
        <f t="shared" si="10"/>
        <v>1112</v>
      </c>
      <c r="F64" s="48">
        <f t="shared" si="8"/>
        <v>1157</v>
      </c>
      <c r="G64" s="48">
        <f t="shared" si="11"/>
        <v>2272</v>
      </c>
      <c r="H64" s="49"/>
      <c r="I64" s="30"/>
    </row>
    <row r="65" spans="1:14" s="27" customFormat="1">
      <c r="A65" s="27">
        <v>19</v>
      </c>
      <c r="B65" s="29">
        <v>41127</v>
      </c>
      <c r="C65" s="46">
        <f t="shared" si="12"/>
        <v>35</v>
      </c>
      <c r="D65" s="48">
        <f t="shared" si="7"/>
        <v>37</v>
      </c>
      <c r="E65" s="48">
        <f t="shared" si="10"/>
        <v>1120</v>
      </c>
      <c r="F65" s="48">
        <f t="shared" si="8"/>
        <v>1157</v>
      </c>
      <c r="G65" s="48">
        <f t="shared" si="11"/>
        <v>1152</v>
      </c>
      <c r="H65" s="49"/>
      <c r="I65" s="30"/>
    </row>
    <row r="66" spans="1:14" s="27" customFormat="1">
      <c r="A66" s="27">
        <v>20</v>
      </c>
      <c r="B66" s="29">
        <v>41155</v>
      </c>
      <c r="C66" s="46">
        <f t="shared" si="12"/>
        <v>28</v>
      </c>
      <c r="D66" s="48">
        <f t="shared" si="7"/>
        <v>15</v>
      </c>
      <c r="E66" s="48">
        <f t="shared" si="10"/>
        <v>1152</v>
      </c>
      <c r="F66" s="48">
        <v>1167</v>
      </c>
      <c r="G66" s="48">
        <f t="shared" si="11"/>
        <v>0</v>
      </c>
      <c r="H66" s="49">
        <f>F66+G66</f>
        <v>1167</v>
      </c>
      <c r="I66" s="30"/>
    </row>
    <row r="67" spans="1:14" s="27" customFormat="1">
      <c r="B67" s="29"/>
      <c r="C67" s="46"/>
      <c r="D67" s="47"/>
      <c r="E67" s="48"/>
      <c r="F67" s="48"/>
      <c r="G67" s="48"/>
      <c r="H67" s="49"/>
      <c r="I67" s="30"/>
    </row>
    <row r="68" spans="1:14" s="27" customFormat="1">
      <c r="B68" s="32" t="s">
        <v>5</v>
      </c>
      <c r="C68" s="50">
        <f>SUM(C47:C66)</f>
        <v>609</v>
      </c>
      <c r="D68" s="57">
        <f>SUM(D47:D66)</f>
        <v>3150</v>
      </c>
      <c r="E68" s="58">
        <f>SUM(E47:E66)</f>
        <v>20000</v>
      </c>
      <c r="F68" s="57">
        <f t="shared" ref="F68" si="13">SUM(F47:F61)</f>
        <v>17355</v>
      </c>
      <c r="G68" s="48"/>
      <c r="H68" s="33"/>
    </row>
    <row r="69" spans="1:14" s="2" customFormat="1">
      <c r="A69" s="64"/>
      <c r="B69" s="64"/>
      <c r="C69" s="65"/>
      <c r="D69" s="66"/>
      <c r="E69" s="66"/>
      <c r="F69" s="66"/>
      <c r="G69" s="66"/>
      <c r="H69" s="66"/>
      <c r="I69" s="67"/>
      <c r="J69" s="68"/>
    </row>
    <row r="71" spans="1:14">
      <c r="B71" s="2" t="s">
        <v>27</v>
      </c>
      <c r="D71" s="1"/>
    </row>
    <row r="72" spans="1:14">
      <c r="B72" s="2"/>
      <c r="D72" s="1"/>
      <c r="H72" s="25"/>
    </row>
    <row r="73" spans="1:14">
      <c r="B73" t="s">
        <v>6</v>
      </c>
      <c r="C73" s="4">
        <f>L15</f>
        <v>20000</v>
      </c>
      <c r="D73" s="1"/>
    </row>
    <row r="74" spans="1:14">
      <c r="B74" t="s">
        <v>16</v>
      </c>
      <c r="C74" s="4">
        <f>L16</f>
        <v>20</v>
      </c>
      <c r="D74" s="1"/>
    </row>
    <row r="75" spans="1:14">
      <c r="B75" s="24" t="s">
        <v>12</v>
      </c>
      <c r="C75" s="40">
        <v>40609</v>
      </c>
      <c r="D75" s="1"/>
    </row>
    <row r="76" spans="1:14">
      <c r="C76" s="21"/>
      <c r="D76" s="1"/>
    </row>
    <row r="77" spans="1:14">
      <c r="C77" s="3"/>
      <c r="D77" s="1"/>
      <c r="G77" t="s">
        <v>14</v>
      </c>
    </row>
    <row r="78" spans="1:14">
      <c r="A78" s="32" t="s">
        <v>13</v>
      </c>
      <c r="B78" s="32" t="s">
        <v>9</v>
      </c>
      <c r="C78" s="41" t="s">
        <v>11</v>
      </c>
      <c r="D78" s="54" t="s">
        <v>2</v>
      </c>
      <c r="E78" s="41" t="s">
        <v>3</v>
      </c>
      <c r="F78" s="41" t="s">
        <v>22</v>
      </c>
      <c r="G78" s="42">
        <f>L15</f>
        <v>20000</v>
      </c>
      <c r="H78" s="55" t="s">
        <v>26</v>
      </c>
      <c r="I78" s="44"/>
      <c r="J78" s="45"/>
      <c r="K78" s="36" t="s">
        <v>17</v>
      </c>
      <c r="L78" s="26">
        <f>L81/100/12</f>
        <v>1.4449999999999999E-2</v>
      </c>
      <c r="M78" t="s">
        <v>23</v>
      </c>
    </row>
    <row r="79" spans="1:14">
      <c r="A79" s="27">
        <v>1</v>
      </c>
      <c r="B79" s="29">
        <v>40637</v>
      </c>
      <c r="C79" s="46">
        <f>B79-C75</f>
        <v>28</v>
      </c>
      <c r="D79" s="48">
        <f>ROUND($L$82*G78*C79,0)</f>
        <v>266</v>
      </c>
      <c r="E79" s="48">
        <f>F79-D79</f>
        <v>893</v>
      </c>
      <c r="F79" s="48">
        <f>$N$80</f>
        <v>1159</v>
      </c>
      <c r="G79" s="48">
        <f>G78-E79</f>
        <v>19107</v>
      </c>
      <c r="H79" s="48"/>
      <c r="I79" s="48"/>
      <c r="J79" s="35"/>
      <c r="K79" s="37" t="s">
        <v>18</v>
      </c>
      <c r="L79" s="26">
        <v>20000</v>
      </c>
    </row>
    <row r="80" spans="1:14">
      <c r="A80" s="27">
        <v>2</v>
      </c>
      <c r="B80" s="29">
        <v>40665</v>
      </c>
      <c r="C80" s="46">
        <f t="shared" ref="C80:C98" si="14">B80-B79</f>
        <v>28</v>
      </c>
      <c r="D80" s="48">
        <f t="shared" ref="D80:D98" si="15">ROUND($L$82*G79*C80,0)</f>
        <v>254</v>
      </c>
      <c r="E80" s="48">
        <f>F80-D80</f>
        <v>905</v>
      </c>
      <c r="F80" s="48">
        <f t="shared" ref="F80:F97" si="16">$N$80</f>
        <v>1159</v>
      </c>
      <c r="G80" s="48">
        <f>G79-E80</f>
        <v>18202</v>
      </c>
      <c r="H80" s="48"/>
      <c r="I80" s="48"/>
      <c r="J80" s="35"/>
      <c r="K80" s="37" t="s">
        <v>19</v>
      </c>
      <c r="L80" s="26">
        <v>20</v>
      </c>
      <c r="M80" t="s">
        <v>24</v>
      </c>
      <c r="N80" s="24">
        <f>ROUND((L78*L79)/(1-(1+L78)^-L80),0)</f>
        <v>1159</v>
      </c>
    </row>
    <row r="81" spans="1:12">
      <c r="A81" s="27">
        <v>3</v>
      </c>
      <c r="B81" s="29">
        <v>40700</v>
      </c>
      <c r="C81" s="46">
        <f t="shared" si="14"/>
        <v>35</v>
      </c>
      <c r="D81" s="48">
        <f t="shared" si="15"/>
        <v>303</v>
      </c>
      <c r="E81" s="48">
        <f t="shared" ref="E81:E98" si="17">F81-D81</f>
        <v>856</v>
      </c>
      <c r="F81" s="48">
        <f t="shared" si="16"/>
        <v>1159</v>
      </c>
      <c r="G81" s="48">
        <f t="shared" ref="G81:G98" si="18">G80-E81</f>
        <v>17346</v>
      </c>
      <c r="H81" s="48"/>
      <c r="I81" s="48"/>
      <c r="J81" s="35"/>
      <c r="K81" s="37" t="s">
        <v>20</v>
      </c>
      <c r="L81" s="26">
        <v>17.34</v>
      </c>
    </row>
    <row r="82" spans="1:12">
      <c r="A82" s="27">
        <v>4</v>
      </c>
      <c r="B82" s="29">
        <v>40728</v>
      </c>
      <c r="C82" s="46">
        <f t="shared" si="14"/>
        <v>28</v>
      </c>
      <c r="D82" s="48">
        <f t="shared" si="15"/>
        <v>231</v>
      </c>
      <c r="E82" s="48">
        <f t="shared" si="17"/>
        <v>928</v>
      </c>
      <c r="F82" s="48">
        <f t="shared" si="16"/>
        <v>1159</v>
      </c>
      <c r="G82" s="48">
        <f t="shared" si="18"/>
        <v>16418</v>
      </c>
      <c r="H82" s="48"/>
      <c r="I82" s="48"/>
      <c r="J82" s="35"/>
      <c r="K82" s="37" t="s">
        <v>25</v>
      </c>
      <c r="L82" s="26">
        <f>L81/36500</f>
        <v>4.7506849315068493E-4</v>
      </c>
    </row>
    <row r="83" spans="1:12">
      <c r="A83" s="27">
        <v>5</v>
      </c>
      <c r="B83" s="29">
        <v>40756</v>
      </c>
      <c r="C83" s="46">
        <f t="shared" si="14"/>
        <v>28</v>
      </c>
      <c r="D83" s="48">
        <f t="shared" si="15"/>
        <v>218</v>
      </c>
      <c r="E83" s="48">
        <f t="shared" si="17"/>
        <v>941</v>
      </c>
      <c r="F83" s="48">
        <f t="shared" si="16"/>
        <v>1159</v>
      </c>
      <c r="G83" s="48">
        <f t="shared" si="18"/>
        <v>15477</v>
      </c>
      <c r="H83" s="48"/>
      <c r="I83" s="48"/>
      <c r="J83" s="35"/>
    </row>
    <row r="84" spans="1:12">
      <c r="A84" s="27">
        <v>6</v>
      </c>
      <c r="B84" s="29">
        <v>40791</v>
      </c>
      <c r="C84" s="46">
        <f t="shared" si="14"/>
        <v>35</v>
      </c>
      <c r="D84" s="48">
        <f t="shared" si="15"/>
        <v>257</v>
      </c>
      <c r="E84" s="48">
        <f t="shared" si="17"/>
        <v>902</v>
      </c>
      <c r="F84" s="48">
        <f t="shared" si="16"/>
        <v>1159</v>
      </c>
      <c r="G84" s="48">
        <f t="shared" si="18"/>
        <v>14575</v>
      </c>
      <c r="H84" s="48"/>
      <c r="I84" s="48"/>
      <c r="J84" s="35"/>
    </row>
    <row r="85" spans="1:12">
      <c r="A85" s="27">
        <v>7</v>
      </c>
      <c r="B85" s="29">
        <v>40819</v>
      </c>
      <c r="C85" s="46">
        <f t="shared" si="14"/>
        <v>28</v>
      </c>
      <c r="D85" s="48">
        <f t="shared" si="15"/>
        <v>194</v>
      </c>
      <c r="E85" s="48">
        <f t="shared" si="17"/>
        <v>965</v>
      </c>
      <c r="F85" s="48">
        <f t="shared" si="16"/>
        <v>1159</v>
      </c>
      <c r="G85" s="48">
        <f t="shared" si="18"/>
        <v>13610</v>
      </c>
      <c r="H85" s="48"/>
      <c r="I85" s="48"/>
      <c r="J85" s="35"/>
    </row>
    <row r="86" spans="1:12">
      <c r="A86" s="27">
        <v>8</v>
      </c>
      <c r="B86" s="29">
        <v>40854</v>
      </c>
      <c r="C86" s="46">
        <f t="shared" si="14"/>
        <v>35</v>
      </c>
      <c r="D86" s="48">
        <f t="shared" si="15"/>
        <v>226</v>
      </c>
      <c r="E86" s="48">
        <f t="shared" si="17"/>
        <v>933</v>
      </c>
      <c r="F86" s="48">
        <f t="shared" si="16"/>
        <v>1159</v>
      </c>
      <c r="G86" s="48">
        <f t="shared" si="18"/>
        <v>12677</v>
      </c>
      <c r="H86" s="48"/>
      <c r="I86" s="48"/>
      <c r="J86" s="35"/>
    </row>
    <row r="87" spans="1:12">
      <c r="A87" s="27">
        <v>9</v>
      </c>
      <c r="B87" s="29">
        <v>40882</v>
      </c>
      <c r="C87" s="46">
        <f t="shared" si="14"/>
        <v>28</v>
      </c>
      <c r="D87" s="48">
        <f t="shared" si="15"/>
        <v>169</v>
      </c>
      <c r="E87" s="48">
        <f t="shared" si="17"/>
        <v>990</v>
      </c>
      <c r="F87" s="48">
        <f t="shared" si="16"/>
        <v>1159</v>
      </c>
      <c r="G87" s="48">
        <f t="shared" si="18"/>
        <v>11687</v>
      </c>
      <c r="H87" s="48"/>
      <c r="I87" s="48"/>
      <c r="J87" s="35"/>
    </row>
    <row r="88" spans="1:12">
      <c r="A88" s="27">
        <v>10</v>
      </c>
      <c r="B88" s="29">
        <v>40910</v>
      </c>
      <c r="C88" s="46">
        <f t="shared" si="14"/>
        <v>28</v>
      </c>
      <c r="D88" s="48">
        <f t="shared" si="15"/>
        <v>155</v>
      </c>
      <c r="E88" s="48">
        <f t="shared" si="17"/>
        <v>1004</v>
      </c>
      <c r="F88" s="48">
        <f t="shared" si="16"/>
        <v>1159</v>
      </c>
      <c r="G88" s="48">
        <f t="shared" si="18"/>
        <v>10683</v>
      </c>
      <c r="H88" s="48"/>
      <c r="I88" s="48"/>
      <c r="J88" s="35"/>
    </row>
    <row r="89" spans="1:12">
      <c r="A89" s="27">
        <v>11</v>
      </c>
      <c r="B89" s="29">
        <v>40945</v>
      </c>
      <c r="C89" s="46">
        <f t="shared" si="14"/>
        <v>35</v>
      </c>
      <c r="D89" s="48">
        <f t="shared" si="15"/>
        <v>178</v>
      </c>
      <c r="E89" s="48">
        <f t="shared" si="17"/>
        <v>981</v>
      </c>
      <c r="F89" s="48">
        <f t="shared" si="16"/>
        <v>1159</v>
      </c>
      <c r="G89" s="48">
        <f t="shared" si="18"/>
        <v>9702</v>
      </c>
      <c r="H89" s="48"/>
      <c r="I89" s="48"/>
      <c r="J89" s="35"/>
    </row>
    <row r="90" spans="1:12">
      <c r="A90" s="27">
        <v>12</v>
      </c>
      <c r="B90" s="29">
        <v>40973</v>
      </c>
      <c r="C90" s="46">
        <f t="shared" si="14"/>
        <v>28</v>
      </c>
      <c r="D90" s="48">
        <f t="shared" si="15"/>
        <v>129</v>
      </c>
      <c r="E90" s="48">
        <f t="shared" si="17"/>
        <v>1030</v>
      </c>
      <c r="F90" s="48">
        <f t="shared" si="16"/>
        <v>1159</v>
      </c>
      <c r="G90" s="48">
        <f t="shared" si="18"/>
        <v>8672</v>
      </c>
      <c r="H90" s="48"/>
      <c r="I90" s="48"/>
      <c r="J90" s="35"/>
    </row>
    <row r="91" spans="1:12">
      <c r="A91" s="27">
        <v>13</v>
      </c>
      <c r="B91" s="29">
        <v>41001</v>
      </c>
      <c r="C91" s="46">
        <f t="shared" si="14"/>
        <v>28</v>
      </c>
      <c r="D91" s="48">
        <f t="shared" si="15"/>
        <v>115</v>
      </c>
      <c r="E91" s="48">
        <f t="shared" si="17"/>
        <v>1044</v>
      </c>
      <c r="F91" s="48">
        <f t="shared" si="16"/>
        <v>1159</v>
      </c>
      <c r="G91" s="48">
        <f t="shared" si="18"/>
        <v>7628</v>
      </c>
      <c r="H91" s="48"/>
      <c r="I91" s="48"/>
      <c r="J91" s="35"/>
    </row>
    <row r="92" spans="1:12">
      <c r="A92" s="27">
        <v>14</v>
      </c>
      <c r="B92" s="29">
        <v>41036</v>
      </c>
      <c r="C92" s="46">
        <f t="shared" si="14"/>
        <v>35</v>
      </c>
      <c r="D92" s="48">
        <f t="shared" si="15"/>
        <v>127</v>
      </c>
      <c r="E92" s="48">
        <f t="shared" si="17"/>
        <v>1032</v>
      </c>
      <c r="F92" s="48">
        <f t="shared" si="16"/>
        <v>1159</v>
      </c>
      <c r="G92" s="48">
        <f t="shared" si="18"/>
        <v>6596</v>
      </c>
      <c r="H92" s="48"/>
      <c r="I92" s="48"/>
      <c r="J92" s="35"/>
    </row>
    <row r="93" spans="1:12">
      <c r="A93" s="27">
        <v>15</v>
      </c>
      <c r="B93" s="29">
        <v>41064</v>
      </c>
      <c r="C93" s="46">
        <f t="shared" si="14"/>
        <v>28</v>
      </c>
      <c r="D93" s="48">
        <f t="shared" si="15"/>
        <v>88</v>
      </c>
      <c r="E93" s="48">
        <f t="shared" si="17"/>
        <v>1071</v>
      </c>
      <c r="F93" s="48">
        <f t="shared" si="16"/>
        <v>1159</v>
      </c>
      <c r="G93" s="48">
        <f t="shared" si="18"/>
        <v>5525</v>
      </c>
      <c r="H93" s="48"/>
      <c r="I93" s="48"/>
      <c r="J93" s="35"/>
    </row>
    <row r="94" spans="1:12">
      <c r="A94" s="27">
        <v>16</v>
      </c>
      <c r="B94" s="29">
        <v>41092</v>
      </c>
      <c r="C94" s="46">
        <f t="shared" si="14"/>
        <v>28</v>
      </c>
      <c r="D94" s="48">
        <f t="shared" si="15"/>
        <v>73</v>
      </c>
      <c r="E94" s="48">
        <f t="shared" si="17"/>
        <v>1086</v>
      </c>
      <c r="F94" s="48">
        <f t="shared" si="16"/>
        <v>1159</v>
      </c>
      <c r="G94" s="48">
        <f t="shared" si="18"/>
        <v>4439</v>
      </c>
      <c r="H94" s="49"/>
      <c r="I94" s="30"/>
      <c r="J94" s="27"/>
    </row>
    <row r="95" spans="1:12">
      <c r="A95" s="27">
        <v>17</v>
      </c>
      <c r="B95" s="29">
        <v>41127</v>
      </c>
      <c r="C95" s="46">
        <f t="shared" si="14"/>
        <v>35</v>
      </c>
      <c r="D95" s="48">
        <f t="shared" si="15"/>
        <v>74</v>
      </c>
      <c r="E95" s="48">
        <f t="shared" si="17"/>
        <v>1085</v>
      </c>
      <c r="F95" s="48">
        <f t="shared" si="16"/>
        <v>1159</v>
      </c>
      <c r="G95" s="48">
        <f t="shared" si="18"/>
        <v>3354</v>
      </c>
      <c r="H95" s="49"/>
      <c r="I95" s="30"/>
      <c r="J95" s="27"/>
    </row>
    <row r="96" spans="1:12">
      <c r="A96" s="27">
        <v>18</v>
      </c>
      <c r="B96" s="29">
        <v>41155</v>
      </c>
      <c r="C96" s="46">
        <f t="shared" si="14"/>
        <v>28</v>
      </c>
      <c r="D96" s="48">
        <f t="shared" si="15"/>
        <v>45</v>
      </c>
      <c r="E96" s="48">
        <f t="shared" si="17"/>
        <v>1114</v>
      </c>
      <c r="F96" s="48">
        <f t="shared" si="16"/>
        <v>1159</v>
      </c>
      <c r="G96" s="48">
        <f t="shared" si="18"/>
        <v>2240</v>
      </c>
      <c r="H96" s="49"/>
      <c r="I96" s="30"/>
      <c r="J96" s="27"/>
    </row>
    <row r="97" spans="1:13">
      <c r="A97" s="27">
        <v>19</v>
      </c>
      <c r="B97" s="29">
        <v>41183</v>
      </c>
      <c r="C97" s="46">
        <f t="shared" si="14"/>
        <v>28</v>
      </c>
      <c r="D97" s="48">
        <f t="shared" si="15"/>
        <v>30</v>
      </c>
      <c r="E97" s="48">
        <f t="shared" si="17"/>
        <v>1129</v>
      </c>
      <c r="F97" s="48">
        <f t="shared" si="16"/>
        <v>1159</v>
      </c>
      <c r="G97" s="48">
        <f t="shared" si="18"/>
        <v>1111</v>
      </c>
      <c r="H97" s="49"/>
      <c r="I97" s="30"/>
      <c r="J97" s="27"/>
    </row>
    <row r="98" spans="1:13">
      <c r="A98" s="27">
        <v>20</v>
      </c>
      <c r="B98" s="29">
        <v>41218</v>
      </c>
      <c r="C98" s="46">
        <f t="shared" si="14"/>
        <v>35</v>
      </c>
      <c r="D98" s="48">
        <f t="shared" si="15"/>
        <v>18</v>
      </c>
      <c r="E98" s="48">
        <f t="shared" si="17"/>
        <v>1111</v>
      </c>
      <c r="F98" s="48">
        <v>1129</v>
      </c>
      <c r="G98" s="48">
        <f t="shared" si="18"/>
        <v>0</v>
      </c>
      <c r="H98" s="49">
        <f>F98+G98</f>
        <v>1129</v>
      </c>
      <c r="I98" s="30"/>
      <c r="J98" s="27"/>
    </row>
    <row r="99" spans="1:13">
      <c r="A99" s="27"/>
      <c r="B99" s="29"/>
      <c r="C99" s="46"/>
      <c r="D99" s="47"/>
      <c r="E99" s="48"/>
      <c r="F99" s="48"/>
      <c r="G99" s="48"/>
      <c r="H99" s="49"/>
      <c r="I99" s="30"/>
      <c r="J99" s="27"/>
    </row>
    <row r="100" spans="1:13">
      <c r="A100" s="27"/>
      <c r="B100" s="32" t="s">
        <v>5</v>
      </c>
      <c r="C100" s="50">
        <f>SUM(C79:C98)</f>
        <v>609</v>
      </c>
      <c r="D100" s="57">
        <f>SUM(D79:D98)</f>
        <v>3150</v>
      </c>
      <c r="E100" s="58">
        <f>SUM(E79:E98)</f>
        <v>20000</v>
      </c>
      <c r="F100" s="57">
        <f t="shared" ref="F100" si="19">SUM(F79:F93)</f>
        <v>17385</v>
      </c>
      <c r="G100" s="48"/>
      <c r="H100" s="33"/>
      <c r="I100" s="27"/>
      <c r="J100" s="27"/>
    </row>
    <row r="101" spans="1:13" s="2" customFormat="1">
      <c r="A101" s="32"/>
      <c r="B101" s="32"/>
      <c r="C101" s="50"/>
      <c r="D101" s="53"/>
      <c r="E101" s="53"/>
      <c r="F101" s="53"/>
      <c r="G101" s="53"/>
      <c r="H101" s="53"/>
      <c r="I101" s="27"/>
      <c r="J101" s="35"/>
    </row>
    <row r="105" spans="1:13">
      <c r="B105" s="2" t="s">
        <v>34</v>
      </c>
      <c r="D105" s="1"/>
    </row>
    <row r="106" spans="1:13">
      <c r="B106" s="2"/>
      <c r="D106" s="1"/>
      <c r="H106" s="25"/>
    </row>
    <row r="107" spans="1:13">
      <c r="B107" t="s">
        <v>6</v>
      </c>
      <c r="C107" s="4">
        <f>L15</f>
        <v>20000</v>
      </c>
      <c r="D107" s="1"/>
      <c r="F107" t="s">
        <v>64</v>
      </c>
      <c r="G107">
        <f>1+L115/1200</f>
        <v>1.0142783333333334</v>
      </c>
    </row>
    <row r="108" spans="1:13">
      <c r="B108" t="s">
        <v>16</v>
      </c>
      <c r="C108" s="4">
        <f>L16</f>
        <v>20</v>
      </c>
      <c r="D108" s="1"/>
      <c r="F108" t="s">
        <v>5</v>
      </c>
      <c r="G108" s="25">
        <f>C107*G107^20</f>
        <v>26556.629971574446</v>
      </c>
    </row>
    <row r="109" spans="1:13">
      <c r="B109" s="24" t="s">
        <v>12</v>
      </c>
      <c r="C109" s="40">
        <v>40728</v>
      </c>
      <c r="D109" s="1"/>
      <c r="F109" t="s">
        <v>65</v>
      </c>
    </row>
    <row r="110" spans="1:13">
      <c r="C110" s="21"/>
      <c r="D110" s="1"/>
    </row>
    <row r="111" spans="1:13">
      <c r="C111" s="3"/>
      <c r="D111" s="1"/>
      <c r="G111" t="s">
        <v>14</v>
      </c>
    </row>
    <row r="112" spans="1:13">
      <c r="A112" s="32" t="s">
        <v>13</v>
      </c>
      <c r="B112" s="32" t="s">
        <v>9</v>
      </c>
      <c r="C112" s="41" t="s">
        <v>11</v>
      </c>
      <c r="D112" s="54" t="s">
        <v>2</v>
      </c>
      <c r="E112" s="41" t="s">
        <v>3</v>
      </c>
      <c r="F112" s="41" t="s">
        <v>22</v>
      </c>
      <c r="G112" s="42">
        <f>L15</f>
        <v>20000</v>
      </c>
      <c r="H112" s="55" t="s">
        <v>26</v>
      </c>
      <c r="I112" s="44"/>
      <c r="J112" s="45"/>
      <c r="K112" s="36" t="s">
        <v>17</v>
      </c>
      <c r="L112" s="26">
        <f>L115/100/12</f>
        <v>1.4278333333333332E-2</v>
      </c>
      <c r="M112" t="s">
        <v>23</v>
      </c>
    </row>
    <row r="113" spans="1:14">
      <c r="A113" s="27">
        <v>1</v>
      </c>
      <c r="B113" s="29">
        <v>40756</v>
      </c>
      <c r="C113" s="46">
        <f>B113-C109</f>
        <v>28</v>
      </c>
      <c r="D113" s="48">
        <f>$L$116*G112*C113</f>
        <v>262.87780821917806</v>
      </c>
      <c r="E113" s="48">
        <f>F113-D113</f>
        <v>894.12219178082194</v>
      </c>
      <c r="F113" s="48">
        <f>$N$114</f>
        <v>1157</v>
      </c>
      <c r="G113" s="48">
        <f>G112-E113</f>
        <v>19105.877808219178</v>
      </c>
      <c r="H113" s="48"/>
      <c r="I113" s="48"/>
      <c r="J113" s="35"/>
      <c r="K113" s="37" t="s">
        <v>18</v>
      </c>
      <c r="L113" s="26">
        <v>20000</v>
      </c>
    </row>
    <row r="114" spans="1:14">
      <c r="A114" s="27">
        <v>2</v>
      </c>
      <c r="B114" s="29">
        <v>40791</v>
      </c>
      <c r="C114" s="46">
        <f t="shared" ref="C114:C132" si="20">B114-B113</f>
        <v>35</v>
      </c>
      <c r="D114" s="48">
        <f t="shared" ref="D114:D132" si="21">$L$116*G113*C114</f>
        <v>313.90695514550572</v>
      </c>
      <c r="E114" s="48">
        <f t="shared" ref="E114:E132" si="22">F114-D114</f>
        <v>843.09304485449434</v>
      </c>
      <c r="F114" s="48">
        <f t="shared" ref="F114:F131" si="23">$N$114</f>
        <v>1157</v>
      </c>
      <c r="G114" s="48">
        <f>G113-E114</f>
        <v>18262.784763364685</v>
      </c>
      <c r="H114" s="48"/>
      <c r="I114" s="48"/>
      <c r="J114" s="35"/>
      <c r="K114" s="37" t="s">
        <v>19</v>
      </c>
      <c r="L114" s="26">
        <v>20</v>
      </c>
      <c r="M114" t="s">
        <v>24</v>
      </c>
      <c r="N114" s="24">
        <f>ROUND((L112*L113)/(1-(1+L112)^-L114),0)</f>
        <v>1157</v>
      </c>
    </row>
    <row r="115" spans="1:14">
      <c r="A115" s="27">
        <v>3</v>
      </c>
      <c r="B115" s="29">
        <v>40819</v>
      </c>
      <c r="C115" s="46">
        <f t="shared" si="20"/>
        <v>28</v>
      </c>
      <c r="D115" s="48">
        <f t="shared" si="21"/>
        <v>240.04404152859547</v>
      </c>
      <c r="E115" s="48">
        <f t="shared" si="22"/>
        <v>916.95595847140453</v>
      </c>
      <c r="F115" s="48">
        <f t="shared" si="23"/>
        <v>1157</v>
      </c>
      <c r="G115" s="48">
        <f t="shared" ref="G115:G132" si="24">G114-E115</f>
        <v>17345.828804893281</v>
      </c>
      <c r="H115" s="48"/>
      <c r="I115" s="48"/>
      <c r="J115" s="35"/>
      <c r="K115" s="37" t="s">
        <v>20</v>
      </c>
      <c r="L115" s="26">
        <v>17.134</v>
      </c>
    </row>
    <row r="116" spans="1:14">
      <c r="A116" s="27">
        <v>4</v>
      </c>
      <c r="B116" s="29">
        <v>40854</v>
      </c>
      <c r="C116" s="46">
        <f t="shared" si="20"/>
        <v>35</v>
      </c>
      <c r="D116" s="48">
        <f t="shared" si="21"/>
        <v>284.98959112346444</v>
      </c>
      <c r="E116" s="48">
        <f t="shared" si="22"/>
        <v>872.01040887653562</v>
      </c>
      <c r="F116" s="48">
        <f t="shared" si="23"/>
        <v>1157</v>
      </c>
      <c r="G116" s="48">
        <f t="shared" si="24"/>
        <v>16473.818396016744</v>
      </c>
      <c r="H116" s="48"/>
      <c r="I116" s="48"/>
      <c r="J116" s="35"/>
      <c r="K116" s="37" t="s">
        <v>25</v>
      </c>
      <c r="L116" s="26">
        <f>L115/36500</f>
        <v>4.6942465753424658E-4</v>
      </c>
    </row>
    <row r="117" spans="1:14">
      <c r="A117" s="27">
        <v>5</v>
      </c>
      <c r="B117" s="29">
        <v>40882</v>
      </c>
      <c r="C117" s="46">
        <f t="shared" si="20"/>
        <v>28</v>
      </c>
      <c r="D117" s="48">
        <f t="shared" si="21"/>
        <v>216.5300636472829</v>
      </c>
      <c r="E117" s="48">
        <f t="shared" si="22"/>
        <v>940.46993635271713</v>
      </c>
      <c r="F117" s="48">
        <f t="shared" si="23"/>
        <v>1157</v>
      </c>
      <c r="G117" s="48">
        <f t="shared" si="24"/>
        <v>15533.348459664026</v>
      </c>
      <c r="H117" s="48"/>
      <c r="I117" s="48"/>
      <c r="J117" s="35"/>
    </row>
    <row r="118" spans="1:14">
      <c r="A118" s="27">
        <v>6</v>
      </c>
      <c r="B118" s="29">
        <v>40910</v>
      </c>
      <c r="C118" s="46">
        <f t="shared" si="20"/>
        <v>28</v>
      </c>
      <c r="D118" s="48">
        <f t="shared" si="21"/>
        <v>204.16862986906125</v>
      </c>
      <c r="E118" s="48">
        <f t="shared" si="22"/>
        <v>952.83137013093869</v>
      </c>
      <c r="F118" s="48">
        <f t="shared" si="23"/>
        <v>1157</v>
      </c>
      <c r="G118" s="48">
        <f t="shared" si="24"/>
        <v>14580.517089533088</v>
      </c>
      <c r="H118" s="48"/>
      <c r="I118" s="48"/>
      <c r="J118" s="35"/>
    </row>
    <row r="119" spans="1:14">
      <c r="A119" s="27">
        <v>7</v>
      </c>
      <c r="B119" s="29">
        <v>40945</v>
      </c>
      <c r="C119" s="46">
        <f t="shared" si="20"/>
        <v>35</v>
      </c>
      <c r="D119" s="48">
        <f t="shared" si="21"/>
        <v>239.55589844992051</v>
      </c>
      <c r="E119" s="48">
        <f t="shared" si="22"/>
        <v>917.44410155007949</v>
      </c>
      <c r="F119" s="48">
        <f t="shared" si="23"/>
        <v>1157</v>
      </c>
      <c r="G119" s="48">
        <f t="shared" si="24"/>
        <v>13663.072987983009</v>
      </c>
      <c r="H119" s="48"/>
      <c r="I119" s="48"/>
      <c r="J119" s="35"/>
    </row>
    <row r="120" spans="1:14">
      <c r="A120" s="27">
        <v>8</v>
      </c>
      <c r="B120" s="29">
        <v>40973</v>
      </c>
      <c r="C120" s="46">
        <f t="shared" si="20"/>
        <v>28</v>
      </c>
      <c r="D120" s="48">
        <f t="shared" si="21"/>
        <v>179.58593403098149</v>
      </c>
      <c r="E120" s="48">
        <f t="shared" si="22"/>
        <v>977.41406596901857</v>
      </c>
      <c r="F120" s="48">
        <f t="shared" si="23"/>
        <v>1157</v>
      </c>
      <c r="G120" s="48">
        <f t="shared" si="24"/>
        <v>12685.65892201399</v>
      </c>
      <c r="H120" s="48"/>
      <c r="I120" s="48"/>
      <c r="J120" s="35"/>
    </row>
    <row r="121" spans="1:14">
      <c r="A121" s="27">
        <v>9</v>
      </c>
      <c r="B121" s="29">
        <v>41001</v>
      </c>
      <c r="C121" s="46">
        <f t="shared" si="20"/>
        <v>28</v>
      </c>
      <c r="D121" s="48">
        <f t="shared" si="21"/>
        <v>166.73891066175494</v>
      </c>
      <c r="E121" s="48">
        <f t="shared" si="22"/>
        <v>990.26108933824503</v>
      </c>
      <c r="F121" s="48">
        <f t="shared" si="23"/>
        <v>1157</v>
      </c>
      <c r="G121" s="48">
        <f t="shared" si="24"/>
        <v>11695.397832675746</v>
      </c>
      <c r="H121" s="48"/>
      <c r="I121" s="48"/>
      <c r="J121" s="35"/>
    </row>
    <row r="122" spans="1:14">
      <c r="A122" s="27">
        <v>10</v>
      </c>
      <c r="B122" s="29">
        <v>41036</v>
      </c>
      <c r="C122" s="46">
        <f t="shared" si="20"/>
        <v>35</v>
      </c>
      <c r="D122" s="48">
        <f t="shared" si="21"/>
        <v>192.15378428157035</v>
      </c>
      <c r="E122" s="48">
        <f t="shared" si="22"/>
        <v>964.84621571842968</v>
      </c>
      <c r="F122" s="48">
        <f t="shared" si="23"/>
        <v>1157</v>
      </c>
      <c r="G122" s="48">
        <f t="shared" si="24"/>
        <v>10730.551616957317</v>
      </c>
      <c r="H122" s="48"/>
      <c r="I122" s="48"/>
      <c r="J122" s="35"/>
    </row>
    <row r="123" spans="1:14">
      <c r="A123" s="27">
        <v>11</v>
      </c>
      <c r="B123" s="29">
        <v>41064</v>
      </c>
      <c r="C123" s="46">
        <f t="shared" si="20"/>
        <v>28</v>
      </c>
      <c r="D123" s="48">
        <f t="shared" si="21"/>
        <v>141.04119450242484</v>
      </c>
      <c r="E123" s="48">
        <f t="shared" si="22"/>
        <v>1015.9588054975752</v>
      </c>
      <c r="F123" s="48">
        <f t="shared" si="23"/>
        <v>1157</v>
      </c>
      <c r="G123" s="48">
        <f t="shared" si="24"/>
        <v>9714.5928114597409</v>
      </c>
      <c r="H123" s="48"/>
      <c r="I123" s="48"/>
      <c r="J123" s="35"/>
    </row>
    <row r="124" spans="1:14">
      <c r="A124" s="27">
        <v>12</v>
      </c>
      <c r="B124" s="29">
        <v>41092</v>
      </c>
      <c r="C124" s="46">
        <f t="shared" si="20"/>
        <v>28</v>
      </c>
      <c r="D124" s="48">
        <f t="shared" si="21"/>
        <v>127.687543300916</v>
      </c>
      <c r="E124" s="48">
        <f t="shared" si="22"/>
        <v>1029.3124566990839</v>
      </c>
      <c r="F124" s="48">
        <f t="shared" si="23"/>
        <v>1157</v>
      </c>
      <c r="G124" s="48">
        <f t="shared" si="24"/>
        <v>8685.2803547606563</v>
      </c>
      <c r="H124" s="48"/>
      <c r="I124" s="48"/>
      <c r="J124" s="35"/>
    </row>
    <row r="125" spans="1:14">
      <c r="A125" s="27">
        <v>13</v>
      </c>
      <c r="B125" s="29">
        <v>41127</v>
      </c>
      <c r="C125" s="46">
        <f t="shared" si="20"/>
        <v>35</v>
      </c>
      <c r="D125" s="48">
        <f t="shared" si="21"/>
        <v>142.6979664642854</v>
      </c>
      <c r="E125" s="48">
        <f t="shared" si="22"/>
        <v>1014.3020335357146</v>
      </c>
      <c r="F125" s="48">
        <f t="shared" si="23"/>
        <v>1157</v>
      </c>
      <c r="G125" s="48">
        <f t="shared" si="24"/>
        <v>7670.9783212249422</v>
      </c>
      <c r="H125" s="48"/>
      <c r="I125" s="48"/>
      <c r="J125" s="35"/>
    </row>
    <row r="126" spans="1:14">
      <c r="A126" s="27">
        <v>14</v>
      </c>
      <c r="B126" s="29">
        <v>41155</v>
      </c>
      <c r="C126" s="46">
        <f t="shared" si="20"/>
        <v>28</v>
      </c>
      <c r="D126" s="48">
        <f t="shared" si="21"/>
        <v>100.82649839902216</v>
      </c>
      <c r="E126" s="48">
        <f t="shared" si="22"/>
        <v>1056.1735016009779</v>
      </c>
      <c r="F126" s="48">
        <f t="shared" si="23"/>
        <v>1157</v>
      </c>
      <c r="G126" s="48">
        <f t="shared" si="24"/>
        <v>6614.8048196239642</v>
      </c>
      <c r="H126" s="48"/>
      <c r="I126" s="48"/>
      <c r="J126" s="35"/>
    </row>
    <row r="127" spans="1:14">
      <c r="A127" s="27">
        <v>15</v>
      </c>
      <c r="B127" s="29">
        <v>41183</v>
      </c>
      <c r="C127" s="46">
        <f t="shared" si="20"/>
        <v>28</v>
      </c>
      <c r="D127" s="48">
        <f t="shared" si="21"/>
        <v>86.944269639020177</v>
      </c>
      <c r="E127" s="48">
        <f t="shared" si="22"/>
        <v>1070.0557303609799</v>
      </c>
      <c r="F127" s="48">
        <f t="shared" si="23"/>
        <v>1157</v>
      </c>
      <c r="G127" s="48">
        <f t="shared" si="24"/>
        <v>5544.7490892629849</v>
      </c>
      <c r="H127" s="48"/>
      <c r="I127" s="48"/>
      <c r="J127" s="35"/>
    </row>
    <row r="128" spans="1:14">
      <c r="A128" s="27">
        <v>16</v>
      </c>
      <c r="B128" s="29">
        <v>41218</v>
      </c>
      <c r="C128" s="46">
        <f t="shared" si="20"/>
        <v>35</v>
      </c>
      <c r="D128" s="48">
        <f t="shared" si="21"/>
        <v>91.09946798192108</v>
      </c>
      <c r="E128" s="48">
        <f t="shared" si="22"/>
        <v>1065.9005320180788</v>
      </c>
      <c r="F128" s="48">
        <f t="shared" si="23"/>
        <v>1157</v>
      </c>
      <c r="G128" s="48">
        <f t="shared" si="24"/>
        <v>4478.8485572449063</v>
      </c>
      <c r="H128" s="49"/>
      <c r="I128" s="30"/>
      <c r="J128" s="27"/>
    </row>
    <row r="129" spans="1:10">
      <c r="A129" s="27">
        <v>17</v>
      </c>
      <c r="B129" s="29">
        <v>41246</v>
      </c>
      <c r="C129" s="46">
        <f t="shared" si="20"/>
        <v>28</v>
      </c>
      <c r="D129" s="48">
        <f t="shared" si="21"/>
        <v>58.869494603708439</v>
      </c>
      <c r="E129" s="48">
        <f t="shared" si="22"/>
        <v>1098.1305053962915</v>
      </c>
      <c r="F129" s="48">
        <f t="shared" si="23"/>
        <v>1157</v>
      </c>
      <c r="G129" s="48">
        <f t="shared" si="24"/>
        <v>3380.7180518486148</v>
      </c>
      <c r="H129" s="49"/>
      <c r="I129" s="30"/>
      <c r="J129" s="27"/>
    </row>
    <row r="130" spans="1:10">
      <c r="A130" s="27">
        <v>18</v>
      </c>
      <c r="B130" s="29">
        <v>41281</v>
      </c>
      <c r="C130" s="46">
        <f t="shared" si="20"/>
        <v>35</v>
      </c>
      <c r="D130" s="48">
        <f t="shared" si="21"/>
        <v>55.544734479810849</v>
      </c>
      <c r="E130" s="48">
        <f t="shared" si="22"/>
        <v>1101.4552655201892</v>
      </c>
      <c r="F130" s="48">
        <f t="shared" si="23"/>
        <v>1157</v>
      </c>
      <c r="G130" s="48">
        <f t="shared" si="24"/>
        <v>2279.2627863284256</v>
      </c>
      <c r="H130" s="49"/>
      <c r="I130" s="30"/>
      <c r="J130" s="27"/>
    </row>
    <row r="131" spans="1:10">
      <c r="A131" s="27">
        <v>19</v>
      </c>
      <c r="B131" s="29">
        <v>41309</v>
      </c>
      <c r="C131" s="46">
        <f>B131-B130</f>
        <v>28</v>
      </c>
      <c r="D131" s="48">
        <f t="shared" si="21"/>
        <v>29.958380281277663</v>
      </c>
      <c r="E131" s="48">
        <f t="shared" si="22"/>
        <v>1127.0416197187224</v>
      </c>
      <c r="F131" s="48">
        <f t="shared" si="23"/>
        <v>1157</v>
      </c>
      <c r="G131" s="48">
        <f t="shared" si="24"/>
        <v>1152.2211666097032</v>
      </c>
      <c r="H131" s="49"/>
      <c r="I131" s="30"/>
      <c r="J131" s="27"/>
    </row>
    <row r="132" spans="1:10">
      <c r="A132" s="27">
        <v>20</v>
      </c>
      <c r="B132" s="29">
        <v>41337</v>
      </c>
      <c r="C132" s="46">
        <f t="shared" si="20"/>
        <v>28</v>
      </c>
      <c r="D132" s="48">
        <f t="shared" si="21"/>
        <v>15.144668743105161</v>
      </c>
      <c r="E132" s="48">
        <f t="shared" si="22"/>
        <v>1162.8553312568949</v>
      </c>
      <c r="F132" s="48">
        <v>1178</v>
      </c>
      <c r="G132" s="48">
        <f t="shared" si="24"/>
        <v>-10.63416464719171</v>
      </c>
      <c r="H132" s="49">
        <f>F132+G132</f>
        <v>1167.3658353528083</v>
      </c>
      <c r="I132" s="30"/>
      <c r="J132" s="27"/>
    </row>
    <row r="133" spans="1:10">
      <c r="A133" s="27"/>
      <c r="B133" s="29"/>
      <c r="C133" s="46"/>
      <c r="D133" s="47"/>
      <c r="E133" s="48"/>
      <c r="F133" s="48"/>
      <c r="G133" s="48"/>
      <c r="H133" s="49"/>
      <c r="I133" s="30"/>
      <c r="J133" s="27"/>
    </row>
    <row r="134" spans="1:10">
      <c r="A134" s="27"/>
      <c r="B134" s="32" t="s">
        <v>5</v>
      </c>
      <c r="C134" s="50">
        <f>SUM(C113:C132)</f>
        <v>609</v>
      </c>
      <c r="D134" s="57">
        <f>SUM(D113:D132)</f>
        <v>3150.3658353528067</v>
      </c>
      <c r="E134" s="58">
        <f>SUM(E113:E132)</f>
        <v>20010.634164647192</v>
      </c>
      <c r="F134" s="57">
        <f t="shared" ref="F134" si="25">SUM(F113:F127)</f>
        <v>17355</v>
      </c>
      <c r="G134" s="48"/>
      <c r="H134" s="33"/>
      <c r="I134" s="27"/>
      <c r="J134" s="27"/>
    </row>
    <row r="135" spans="1:10">
      <c r="A135" s="27"/>
      <c r="B135" s="32"/>
      <c r="C135" s="50"/>
      <c r="D135" s="53"/>
      <c r="E135" s="53"/>
      <c r="F135" s="53"/>
      <c r="G135" s="48"/>
      <c r="H135" s="48"/>
      <c r="I135" s="27"/>
      <c r="J135" s="35"/>
    </row>
    <row r="137" spans="1:10">
      <c r="B137" s="22"/>
      <c r="D137" s="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N201"/>
  <sheetViews>
    <sheetView zoomScale="85" zoomScaleNormal="85" workbookViewId="0">
      <pane ySplit="6" topLeftCell="A7" activePane="bottomLeft" state="frozen"/>
      <selection pane="bottomLeft" activeCell="H6" sqref="H6"/>
    </sheetView>
  </sheetViews>
  <sheetFormatPr defaultRowHeight="15"/>
  <cols>
    <col min="2" max="2" width="15.7109375" bestFit="1" customWidth="1"/>
    <col min="3" max="3" width="11.5703125" bestFit="1" customWidth="1"/>
    <col min="4" max="4" width="16" bestFit="1" customWidth="1"/>
    <col min="5" max="5" width="16.7109375" bestFit="1" customWidth="1"/>
    <col min="6" max="6" width="10.5703125" bestFit="1" customWidth="1"/>
    <col min="7" max="7" width="12.5703125" customWidth="1"/>
    <col min="8" max="8" width="16" bestFit="1" customWidth="1"/>
    <col min="9" max="9" width="14.85546875" bestFit="1" customWidth="1"/>
    <col min="10" max="10" width="14.85546875" customWidth="1"/>
    <col min="11" max="11" width="11.28515625" bestFit="1" customWidth="1"/>
    <col min="12" max="12" width="15.5703125" bestFit="1" customWidth="1"/>
    <col min="13" max="13" width="16.28515625" bestFit="1" customWidth="1"/>
  </cols>
  <sheetData>
    <row r="1" spans="1:14">
      <c r="B1" s="32" t="s">
        <v>39</v>
      </c>
      <c r="C1" s="33" t="s">
        <v>29</v>
      </c>
      <c r="D1" s="76" t="s">
        <v>40</v>
      </c>
      <c r="E1" s="76" t="s">
        <v>41</v>
      </c>
      <c r="F1" s="34" t="s">
        <v>42</v>
      </c>
      <c r="G1" s="34"/>
      <c r="H1" t="s">
        <v>15</v>
      </c>
    </row>
    <row r="2" spans="1:14">
      <c r="B2" s="29">
        <v>40455</v>
      </c>
      <c r="C2" s="80">
        <f>L17</f>
        <v>16.638999999999999</v>
      </c>
      <c r="D2" s="28">
        <f>D52</f>
        <v>27750</v>
      </c>
      <c r="E2" s="31">
        <f>F15</f>
        <v>3547</v>
      </c>
      <c r="F2" s="34">
        <f>'Pawdep scenario'!F5</f>
        <v>27749.999999999967</v>
      </c>
      <c r="G2" s="34"/>
    </row>
    <row r="3" spans="1:14">
      <c r="B3" s="29">
        <v>40546</v>
      </c>
      <c r="C3" s="80">
        <f>L65</f>
        <v>16.628</v>
      </c>
      <c r="D3" s="28">
        <f>D100</f>
        <v>27750</v>
      </c>
      <c r="E3" s="31">
        <f>F63</f>
        <v>3547</v>
      </c>
      <c r="F3" s="34"/>
      <c r="G3" s="34"/>
      <c r="H3" s="4"/>
    </row>
    <row r="4" spans="1:14">
      <c r="B4" s="29">
        <v>40609</v>
      </c>
      <c r="C4" s="80">
        <f>L113</f>
        <v>16.7255</v>
      </c>
      <c r="D4" s="28">
        <f>D148</f>
        <v>27750</v>
      </c>
      <c r="E4" s="31">
        <f>F111</f>
        <v>3552</v>
      </c>
      <c r="F4" s="34"/>
      <c r="G4" s="34"/>
      <c r="H4" s="4"/>
      <c r="I4" s="23"/>
    </row>
    <row r="5" spans="1:14">
      <c r="B5" s="29">
        <v>40728</v>
      </c>
      <c r="C5" s="80">
        <f>L163</f>
        <v>16.605</v>
      </c>
      <c r="D5" s="28">
        <f>D198</f>
        <v>27750</v>
      </c>
      <c r="E5" s="31">
        <f>F161</f>
        <v>3546</v>
      </c>
      <c r="F5" s="34"/>
      <c r="G5" s="34"/>
    </row>
    <row r="6" spans="1:14">
      <c r="C6" s="3"/>
      <c r="D6" s="34"/>
      <c r="E6" s="34"/>
      <c r="F6" s="34"/>
      <c r="G6" s="34"/>
      <c r="J6" s="38"/>
    </row>
    <row r="7" spans="1:14">
      <c r="B7" s="2" t="s">
        <v>7</v>
      </c>
      <c r="D7" s="34"/>
      <c r="E7" s="34"/>
      <c r="F7" s="34"/>
      <c r="G7" s="34"/>
      <c r="J7" s="38"/>
    </row>
    <row r="8" spans="1:14">
      <c r="B8" s="2"/>
      <c r="D8" s="34"/>
      <c r="E8" s="34"/>
      <c r="F8" s="34"/>
      <c r="G8" s="34"/>
      <c r="H8" s="25"/>
      <c r="J8" s="38"/>
    </row>
    <row r="9" spans="1:14">
      <c r="B9" t="s">
        <v>6</v>
      </c>
      <c r="C9" s="4">
        <f>L15</f>
        <v>100000</v>
      </c>
      <c r="D9" s="34"/>
      <c r="E9" s="34"/>
      <c r="F9" s="34"/>
      <c r="G9" s="34"/>
      <c r="J9" s="38"/>
    </row>
    <row r="10" spans="1:14">
      <c r="B10" t="s">
        <v>16</v>
      </c>
      <c r="C10" s="4">
        <f>L16</f>
        <v>36</v>
      </c>
      <c r="D10" s="34"/>
      <c r="E10" s="34"/>
      <c r="F10" s="34"/>
      <c r="G10" s="34"/>
      <c r="J10" s="38"/>
    </row>
    <row r="11" spans="1:14">
      <c r="B11" s="24" t="s">
        <v>12</v>
      </c>
      <c r="C11" s="40">
        <v>40455</v>
      </c>
      <c r="D11" s="34"/>
      <c r="E11" s="34"/>
      <c r="F11" s="34"/>
      <c r="G11" s="34"/>
      <c r="J11" s="38"/>
    </row>
    <row r="12" spans="1:14">
      <c r="C12" s="21"/>
      <c r="D12" s="34"/>
      <c r="E12" s="34"/>
      <c r="F12" s="34"/>
      <c r="G12" s="34"/>
      <c r="J12" s="38"/>
    </row>
    <row r="13" spans="1:14">
      <c r="C13" s="3"/>
      <c r="D13" s="34"/>
      <c r="E13" s="34"/>
      <c r="F13" s="34"/>
      <c r="G13" s="34" t="s">
        <v>14</v>
      </c>
      <c r="J13" s="38"/>
    </row>
    <row r="14" spans="1:14">
      <c r="A14" s="32" t="s">
        <v>13</v>
      </c>
      <c r="B14" s="32" t="s">
        <v>9</v>
      </c>
      <c r="C14" s="41" t="s">
        <v>11</v>
      </c>
      <c r="D14" s="42" t="s">
        <v>2</v>
      </c>
      <c r="E14" s="42" t="s">
        <v>3</v>
      </c>
      <c r="F14" s="42" t="s">
        <v>22</v>
      </c>
      <c r="G14" s="42">
        <f>L15</f>
        <v>100000</v>
      </c>
      <c r="H14" s="43" t="s">
        <v>31</v>
      </c>
      <c r="I14" s="44"/>
      <c r="J14" s="45"/>
      <c r="K14" s="36" t="s">
        <v>17</v>
      </c>
      <c r="L14" s="26">
        <f>L17/100/12</f>
        <v>1.3865833333333332E-2</v>
      </c>
      <c r="M14" t="s">
        <v>23</v>
      </c>
    </row>
    <row r="15" spans="1:14">
      <c r="A15" s="27">
        <v>1</v>
      </c>
      <c r="B15" s="29">
        <v>40483</v>
      </c>
      <c r="C15" s="46">
        <f>B15-C11</f>
        <v>28</v>
      </c>
      <c r="D15" s="47">
        <f>ROUND($L$18*G14*C15,0)</f>
        <v>1276</v>
      </c>
      <c r="E15" s="48">
        <f>F15-D15</f>
        <v>2271</v>
      </c>
      <c r="F15" s="48">
        <f t="shared" ref="F15:F49" si="0">$N$16</f>
        <v>3547</v>
      </c>
      <c r="G15" s="48">
        <f>G14-E15</f>
        <v>97729</v>
      </c>
      <c r="H15" s="27"/>
      <c r="I15" s="48"/>
      <c r="J15" s="35"/>
      <c r="K15" s="37" t="s">
        <v>18</v>
      </c>
      <c r="L15" s="26">
        <v>100000</v>
      </c>
    </row>
    <row r="16" spans="1:14">
      <c r="A16" s="27">
        <v>2</v>
      </c>
      <c r="B16" s="29">
        <v>40518</v>
      </c>
      <c r="C16" s="46">
        <f>B16-B15</f>
        <v>35</v>
      </c>
      <c r="D16" s="47">
        <f t="shared" ref="D16:D50" si="1">ROUND($L$18*G15*C16,0)</f>
        <v>1559</v>
      </c>
      <c r="E16" s="48">
        <f>F16-D16</f>
        <v>1988</v>
      </c>
      <c r="F16" s="48">
        <f t="shared" si="0"/>
        <v>3547</v>
      </c>
      <c r="G16" s="48">
        <f>G15-E16</f>
        <v>95741</v>
      </c>
      <c r="H16" s="27"/>
      <c r="I16" s="48"/>
      <c r="J16" s="35"/>
      <c r="K16" s="37" t="s">
        <v>19</v>
      </c>
      <c r="L16" s="26">
        <v>36</v>
      </c>
      <c r="M16" t="s">
        <v>24</v>
      </c>
      <c r="N16" s="24">
        <f>ROUND((L14*L15)/(1-(1+L14)^-L16),0)</f>
        <v>3547</v>
      </c>
    </row>
    <row r="17" spans="1:12">
      <c r="A17" s="27">
        <v>3</v>
      </c>
      <c r="B17" s="29">
        <v>40546</v>
      </c>
      <c r="C17" s="46">
        <f t="shared" ref="C17:C28" si="2">B17-B16</f>
        <v>28</v>
      </c>
      <c r="D17" s="47">
        <f t="shared" si="1"/>
        <v>1222</v>
      </c>
      <c r="E17" s="48">
        <f t="shared" ref="E17:E38" si="3">F17-D17</f>
        <v>2325</v>
      </c>
      <c r="F17" s="48">
        <f t="shared" si="0"/>
        <v>3547</v>
      </c>
      <c r="G17" s="48">
        <f t="shared" ref="G17:G38" si="4">G16-E17</f>
        <v>93416</v>
      </c>
      <c r="H17" s="27"/>
      <c r="I17" s="48"/>
      <c r="J17" s="35"/>
      <c r="K17" s="37" t="s">
        <v>20</v>
      </c>
      <c r="L17" s="26">
        <v>16.638999999999999</v>
      </c>
    </row>
    <row r="18" spans="1:12">
      <c r="A18" s="27">
        <v>4</v>
      </c>
      <c r="B18" s="29">
        <v>40581</v>
      </c>
      <c r="C18" s="46">
        <f>B18-B17</f>
        <v>35</v>
      </c>
      <c r="D18" s="47">
        <f t="shared" si="1"/>
        <v>1490</v>
      </c>
      <c r="E18" s="48">
        <f t="shared" si="3"/>
        <v>2057</v>
      </c>
      <c r="F18" s="48">
        <f t="shared" si="0"/>
        <v>3547</v>
      </c>
      <c r="G18" s="48">
        <f t="shared" si="4"/>
        <v>91359</v>
      </c>
      <c r="H18" s="27"/>
      <c r="I18" s="48"/>
      <c r="J18" s="35"/>
      <c r="K18" s="37" t="s">
        <v>25</v>
      </c>
      <c r="L18" s="26">
        <f>L17/36500</f>
        <v>4.558630136986301E-4</v>
      </c>
    </row>
    <row r="19" spans="1:12">
      <c r="A19" s="27">
        <v>5</v>
      </c>
      <c r="B19" s="29">
        <v>40609</v>
      </c>
      <c r="C19" s="46">
        <f>B19-B18</f>
        <v>28</v>
      </c>
      <c r="D19" s="47">
        <f t="shared" si="1"/>
        <v>1166</v>
      </c>
      <c r="E19" s="48">
        <f t="shared" si="3"/>
        <v>2381</v>
      </c>
      <c r="F19" s="48">
        <f t="shared" si="0"/>
        <v>3547</v>
      </c>
      <c r="G19" s="48">
        <f t="shared" si="4"/>
        <v>88978</v>
      </c>
      <c r="H19" s="27"/>
      <c r="I19" s="48"/>
      <c r="J19" s="35"/>
    </row>
    <row r="20" spans="1:12">
      <c r="A20" s="27">
        <v>6</v>
      </c>
      <c r="B20" s="29">
        <v>40637</v>
      </c>
      <c r="C20" s="46">
        <f>B20-B19</f>
        <v>28</v>
      </c>
      <c r="D20" s="47">
        <f t="shared" si="1"/>
        <v>1136</v>
      </c>
      <c r="E20" s="48">
        <f t="shared" si="3"/>
        <v>2411</v>
      </c>
      <c r="F20" s="48">
        <f t="shared" si="0"/>
        <v>3547</v>
      </c>
      <c r="G20" s="48">
        <f t="shared" si="4"/>
        <v>86567</v>
      </c>
      <c r="H20" s="27"/>
      <c r="I20" s="48"/>
      <c r="J20" s="35"/>
    </row>
    <row r="21" spans="1:12">
      <c r="A21" s="27">
        <v>7</v>
      </c>
      <c r="B21" s="29">
        <v>40665</v>
      </c>
      <c r="C21" s="46">
        <f t="shared" si="2"/>
        <v>28</v>
      </c>
      <c r="D21" s="47">
        <f t="shared" si="1"/>
        <v>1105</v>
      </c>
      <c r="E21" s="48">
        <f t="shared" si="3"/>
        <v>2442</v>
      </c>
      <c r="F21" s="48">
        <f t="shared" si="0"/>
        <v>3547</v>
      </c>
      <c r="G21" s="48">
        <f t="shared" si="4"/>
        <v>84125</v>
      </c>
      <c r="H21" s="27"/>
      <c r="I21" s="48"/>
      <c r="J21" s="35"/>
    </row>
    <row r="22" spans="1:12">
      <c r="A22" s="27">
        <v>8</v>
      </c>
      <c r="B22" s="29">
        <v>40700</v>
      </c>
      <c r="C22" s="46">
        <f t="shared" si="2"/>
        <v>35</v>
      </c>
      <c r="D22" s="47">
        <f t="shared" si="1"/>
        <v>1342</v>
      </c>
      <c r="E22" s="48">
        <f t="shared" si="3"/>
        <v>2205</v>
      </c>
      <c r="F22" s="48">
        <f t="shared" si="0"/>
        <v>3547</v>
      </c>
      <c r="G22" s="48">
        <f t="shared" si="4"/>
        <v>81920</v>
      </c>
      <c r="H22" s="27"/>
      <c r="I22" s="48"/>
      <c r="J22" s="35"/>
    </row>
    <row r="23" spans="1:12">
      <c r="A23" s="27">
        <v>9</v>
      </c>
      <c r="B23" s="29">
        <v>40728</v>
      </c>
      <c r="C23" s="46">
        <f t="shared" si="2"/>
        <v>28</v>
      </c>
      <c r="D23" s="47">
        <f t="shared" si="1"/>
        <v>1046</v>
      </c>
      <c r="E23" s="48">
        <f t="shared" si="3"/>
        <v>2501</v>
      </c>
      <c r="F23" s="48">
        <f t="shared" si="0"/>
        <v>3547</v>
      </c>
      <c r="G23" s="48">
        <f t="shared" si="4"/>
        <v>79419</v>
      </c>
      <c r="H23" s="27"/>
      <c r="I23" s="48"/>
      <c r="J23" s="35"/>
    </row>
    <row r="24" spans="1:12">
      <c r="A24" s="27">
        <v>10</v>
      </c>
      <c r="B24" s="29">
        <v>40756</v>
      </c>
      <c r="C24" s="46">
        <f t="shared" si="2"/>
        <v>28</v>
      </c>
      <c r="D24" s="47">
        <f t="shared" si="1"/>
        <v>1014</v>
      </c>
      <c r="E24" s="48">
        <f t="shared" si="3"/>
        <v>2533</v>
      </c>
      <c r="F24" s="48">
        <f t="shared" si="0"/>
        <v>3547</v>
      </c>
      <c r="G24" s="48">
        <f t="shared" si="4"/>
        <v>76886</v>
      </c>
      <c r="H24" s="27"/>
      <c r="I24" s="48"/>
      <c r="J24" s="35"/>
    </row>
    <row r="25" spans="1:12">
      <c r="A25" s="27">
        <v>11</v>
      </c>
      <c r="B25" s="29">
        <v>40791</v>
      </c>
      <c r="C25" s="46">
        <f t="shared" si="2"/>
        <v>35</v>
      </c>
      <c r="D25" s="47">
        <f t="shared" si="1"/>
        <v>1227</v>
      </c>
      <c r="E25" s="48">
        <f t="shared" si="3"/>
        <v>2320</v>
      </c>
      <c r="F25" s="48">
        <f t="shared" si="0"/>
        <v>3547</v>
      </c>
      <c r="G25" s="48">
        <f t="shared" si="4"/>
        <v>74566</v>
      </c>
      <c r="H25" s="27"/>
      <c r="I25" s="48"/>
      <c r="J25" s="35"/>
    </row>
    <row r="26" spans="1:12">
      <c r="A26" s="27">
        <v>12</v>
      </c>
      <c r="B26" s="29">
        <v>40819</v>
      </c>
      <c r="C26" s="46">
        <f t="shared" si="2"/>
        <v>28</v>
      </c>
      <c r="D26" s="47">
        <f t="shared" si="1"/>
        <v>952</v>
      </c>
      <c r="E26" s="48">
        <f t="shared" si="3"/>
        <v>2595</v>
      </c>
      <c r="F26" s="48">
        <f t="shared" si="0"/>
        <v>3547</v>
      </c>
      <c r="G26" s="48">
        <f t="shared" si="4"/>
        <v>71971</v>
      </c>
      <c r="H26" s="27"/>
      <c r="I26" s="48"/>
      <c r="J26" s="35"/>
    </row>
    <row r="27" spans="1:12">
      <c r="A27" s="27">
        <v>13</v>
      </c>
      <c r="B27" s="29">
        <v>40854</v>
      </c>
      <c r="C27" s="46">
        <f t="shared" si="2"/>
        <v>35</v>
      </c>
      <c r="D27" s="47">
        <f t="shared" si="1"/>
        <v>1148</v>
      </c>
      <c r="E27" s="48">
        <f t="shared" si="3"/>
        <v>2399</v>
      </c>
      <c r="F27" s="48">
        <f t="shared" si="0"/>
        <v>3547</v>
      </c>
      <c r="G27" s="48">
        <f t="shared" si="4"/>
        <v>69572</v>
      </c>
      <c r="H27" s="27"/>
      <c r="I27" s="48"/>
      <c r="J27" s="35"/>
    </row>
    <row r="28" spans="1:12">
      <c r="A28" s="27">
        <v>14</v>
      </c>
      <c r="B28" s="29">
        <v>40882</v>
      </c>
      <c r="C28" s="46">
        <f t="shared" si="2"/>
        <v>28</v>
      </c>
      <c r="D28" s="47">
        <f t="shared" si="1"/>
        <v>888</v>
      </c>
      <c r="E28" s="48">
        <f t="shared" si="3"/>
        <v>2659</v>
      </c>
      <c r="F28" s="48">
        <f t="shared" si="0"/>
        <v>3547</v>
      </c>
      <c r="G28" s="48">
        <f t="shared" si="4"/>
        <v>66913</v>
      </c>
      <c r="H28" s="27"/>
      <c r="I28" s="48"/>
      <c r="J28" s="35"/>
    </row>
    <row r="29" spans="1:12">
      <c r="A29" s="27">
        <v>15</v>
      </c>
      <c r="B29" s="29">
        <v>40910</v>
      </c>
      <c r="C29" s="46">
        <f>B29-B28</f>
        <v>28</v>
      </c>
      <c r="D29" s="47">
        <f t="shared" si="1"/>
        <v>854</v>
      </c>
      <c r="E29" s="48">
        <f t="shared" si="3"/>
        <v>2693</v>
      </c>
      <c r="F29" s="48">
        <f t="shared" si="0"/>
        <v>3547</v>
      </c>
      <c r="G29" s="48">
        <f t="shared" si="4"/>
        <v>64220</v>
      </c>
      <c r="H29" s="49"/>
      <c r="I29" s="48"/>
      <c r="J29" s="35"/>
    </row>
    <row r="30" spans="1:12">
      <c r="A30" s="27">
        <v>16</v>
      </c>
      <c r="B30" s="29">
        <v>40945</v>
      </c>
      <c r="C30" s="46">
        <f t="shared" ref="C30:C38" si="5">B30-B29</f>
        <v>35</v>
      </c>
      <c r="D30" s="47">
        <f t="shared" si="1"/>
        <v>1025</v>
      </c>
      <c r="E30" s="48">
        <f t="shared" si="3"/>
        <v>2522</v>
      </c>
      <c r="F30" s="48">
        <f t="shared" si="0"/>
        <v>3547</v>
      </c>
      <c r="G30" s="48">
        <f t="shared" si="4"/>
        <v>61698</v>
      </c>
      <c r="H30" s="49"/>
      <c r="I30" s="30"/>
      <c r="J30" s="27"/>
    </row>
    <row r="31" spans="1:12">
      <c r="A31" s="27">
        <v>17</v>
      </c>
      <c r="B31" s="29">
        <v>40973</v>
      </c>
      <c r="C31" s="46">
        <f t="shared" si="5"/>
        <v>28</v>
      </c>
      <c r="D31" s="47">
        <f t="shared" si="1"/>
        <v>788</v>
      </c>
      <c r="E31" s="48">
        <f t="shared" si="3"/>
        <v>2759</v>
      </c>
      <c r="F31" s="48">
        <f t="shared" si="0"/>
        <v>3547</v>
      </c>
      <c r="G31" s="48">
        <f t="shared" si="4"/>
        <v>58939</v>
      </c>
      <c r="H31" s="49"/>
      <c r="I31" s="30"/>
      <c r="J31" s="27"/>
    </row>
    <row r="32" spans="1:12">
      <c r="A32" s="27">
        <v>18</v>
      </c>
      <c r="B32" s="29">
        <v>41001</v>
      </c>
      <c r="C32" s="46">
        <f t="shared" si="5"/>
        <v>28</v>
      </c>
      <c r="D32" s="47">
        <f t="shared" si="1"/>
        <v>752</v>
      </c>
      <c r="E32" s="48">
        <f t="shared" si="3"/>
        <v>2795</v>
      </c>
      <c r="F32" s="48">
        <f t="shared" si="0"/>
        <v>3547</v>
      </c>
      <c r="G32" s="48">
        <f t="shared" si="4"/>
        <v>56144</v>
      </c>
      <c r="H32" s="49"/>
      <c r="I32" s="30"/>
      <c r="J32" s="27"/>
    </row>
    <row r="33" spans="1:10">
      <c r="A33" s="27">
        <v>19</v>
      </c>
      <c r="B33" s="29">
        <v>41036</v>
      </c>
      <c r="C33" s="46">
        <f t="shared" si="5"/>
        <v>35</v>
      </c>
      <c r="D33" s="47">
        <f t="shared" si="1"/>
        <v>896</v>
      </c>
      <c r="E33" s="48">
        <f t="shared" si="3"/>
        <v>2651</v>
      </c>
      <c r="F33" s="48">
        <f t="shared" si="0"/>
        <v>3547</v>
      </c>
      <c r="G33" s="48">
        <f t="shared" si="4"/>
        <v>53493</v>
      </c>
      <c r="H33" s="49"/>
      <c r="I33" s="30"/>
      <c r="J33" s="27"/>
    </row>
    <row r="34" spans="1:10">
      <c r="A34" s="27">
        <v>20</v>
      </c>
      <c r="B34" s="29">
        <v>41064</v>
      </c>
      <c r="C34" s="46">
        <f t="shared" si="5"/>
        <v>28</v>
      </c>
      <c r="D34" s="47">
        <f t="shared" si="1"/>
        <v>683</v>
      </c>
      <c r="E34" s="48">
        <f t="shared" si="3"/>
        <v>2864</v>
      </c>
      <c r="F34" s="48">
        <f t="shared" si="0"/>
        <v>3547</v>
      </c>
      <c r="G34" s="48">
        <f t="shared" si="4"/>
        <v>50629</v>
      </c>
      <c r="H34" s="49"/>
      <c r="I34" s="30"/>
      <c r="J34" s="27"/>
    </row>
    <row r="35" spans="1:10">
      <c r="A35" s="27">
        <v>21</v>
      </c>
      <c r="B35" s="29">
        <v>41092</v>
      </c>
      <c r="C35" s="46">
        <f t="shared" si="5"/>
        <v>28</v>
      </c>
      <c r="D35" s="47">
        <f t="shared" si="1"/>
        <v>646</v>
      </c>
      <c r="E35" s="48">
        <f t="shared" si="3"/>
        <v>2901</v>
      </c>
      <c r="F35" s="48">
        <f t="shared" si="0"/>
        <v>3547</v>
      </c>
      <c r="G35" s="48">
        <f t="shared" si="4"/>
        <v>47728</v>
      </c>
      <c r="H35" s="49"/>
      <c r="I35" s="30"/>
      <c r="J35" s="27"/>
    </row>
    <row r="36" spans="1:10">
      <c r="A36" s="27">
        <v>22</v>
      </c>
      <c r="B36" s="29">
        <v>41127</v>
      </c>
      <c r="C36" s="46">
        <f t="shared" si="5"/>
        <v>35</v>
      </c>
      <c r="D36" s="47">
        <f t="shared" si="1"/>
        <v>762</v>
      </c>
      <c r="E36" s="48">
        <f t="shared" si="3"/>
        <v>2785</v>
      </c>
      <c r="F36" s="48">
        <f t="shared" si="0"/>
        <v>3547</v>
      </c>
      <c r="G36" s="48">
        <f t="shared" si="4"/>
        <v>44943</v>
      </c>
      <c r="H36" s="49"/>
      <c r="I36" s="30"/>
      <c r="J36" s="27"/>
    </row>
    <row r="37" spans="1:10">
      <c r="A37" s="27">
        <v>23</v>
      </c>
      <c r="B37" s="29">
        <v>41155</v>
      </c>
      <c r="C37" s="46">
        <f t="shared" si="5"/>
        <v>28</v>
      </c>
      <c r="D37" s="47">
        <f t="shared" si="1"/>
        <v>574</v>
      </c>
      <c r="E37" s="48">
        <f t="shared" si="3"/>
        <v>2973</v>
      </c>
      <c r="F37" s="48">
        <f t="shared" si="0"/>
        <v>3547</v>
      </c>
      <c r="G37" s="48">
        <f t="shared" si="4"/>
        <v>41970</v>
      </c>
      <c r="H37" s="49"/>
      <c r="I37" s="30"/>
      <c r="J37" s="27"/>
    </row>
    <row r="38" spans="1:10">
      <c r="A38" s="27">
        <v>24</v>
      </c>
      <c r="B38" s="29">
        <v>41183</v>
      </c>
      <c r="C38" s="46">
        <f t="shared" si="5"/>
        <v>28</v>
      </c>
      <c r="D38" s="47">
        <f t="shared" si="1"/>
        <v>536</v>
      </c>
      <c r="E38" s="48">
        <f t="shared" si="3"/>
        <v>3011</v>
      </c>
      <c r="F38" s="48">
        <f t="shared" si="0"/>
        <v>3547</v>
      </c>
      <c r="G38" s="48">
        <f t="shared" si="4"/>
        <v>38959</v>
      </c>
      <c r="H38" s="49"/>
      <c r="I38" s="30"/>
      <c r="J38" s="27"/>
    </row>
    <row r="39" spans="1:10">
      <c r="A39" s="27">
        <v>25</v>
      </c>
      <c r="B39" s="29">
        <v>41218</v>
      </c>
      <c r="C39" s="46">
        <f t="shared" ref="C39:C50" si="6">B39-B38</f>
        <v>35</v>
      </c>
      <c r="D39" s="47">
        <f t="shared" si="1"/>
        <v>622</v>
      </c>
      <c r="E39" s="48">
        <f t="shared" ref="E39:E50" si="7">F39-D39</f>
        <v>2925</v>
      </c>
      <c r="F39" s="48">
        <f t="shared" si="0"/>
        <v>3547</v>
      </c>
      <c r="G39" s="48">
        <f t="shared" ref="G39:G50" si="8">G38-E39</f>
        <v>36034</v>
      </c>
      <c r="H39" s="49"/>
      <c r="I39" s="30"/>
      <c r="J39" s="27"/>
    </row>
    <row r="40" spans="1:10">
      <c r="A40" s="27">
        <v>26</v>
      </c>
      <c r="B40" s="29">
        <v>41246</v>
      </c>
      <c r="C40" s="46">
        <f t="shared" si="6"/>
        <v>28</v>
      </c>
      <c r="D40" s="47">
        <f t="shared" si="1"/>
        <v>460</v>
      </c>
      <c r="E40" s="48">
        <f t="shared" si="7"/>
        <v>3087</v>
      </c>
      <c r="F40" s="48">
        <f t="shared" si="0"/>
        <v>3547</v>
      </c>
      <c r="G40" s="48">
        <f t="shared" si="8"/>
        <v>32947</v>
      </c>
      <c r="H40" s="49"/>
      <c r="I40" s="30"/>
      <c r="J40" s="27"/>
    </row>
    <row r="41" spans="1:10">
      <c r="A41" s="27">
        <v>27</v>
      </c>
      <c r="B41" s="29">
        <v>41281</v>
      </c>
      <c r="C41" s="46">
        <f t="shared" si="6"/>
        <v>35</v>
      </c>
      <c r="D41" s="47">
        <f t="shared" si="1"/>
        <v>526</v>
      </c>
      <c r="E41" s="48">
        <f t="shared" si="7"/>
        <v>3021</v>
      </c>
      <c r="F41" s="48">
        <f t="shared" si="0"/>
        <v>3547</v>
      </c>
      <c r="G41" s="48">
        <f t="shared" si="8"/>
        <v>29926</v>
      </c>
      <c r="H41" s="49"/>
      <c r="I41" s="30"/>
      <c r="J41" s="27"/>
    </row>
    <row r="42" spans="1:10">
      <c r="A42" s="27">
        <v>28</v>
      </c>
      <c r="B42" s="29">
        <v>41309</v>
      </c>
      <c r="C42" s="46">
        <f t="shared" si="6"/>
        <v>28</v>
      </c>
      <c r="D42" s="47">
        <f t="shared" si="1"/>
        <v>382</v>
      </c>
      <c r="E42" s="48">
        <f t="shared" si="7"/>
        <v>3165</v>
      </c>
      <c r="F42" s="48">
        <f t="shared" si="0"/>
        <v>3547</v>
      </c>
      <c r="G42" s="48">
        <f t="shared" si="8"/>
        <v>26761</v>
      </c>
      <c r="H42" s="49"/>
      <c r="I42" s="30"/>
      <c r="J42" s="27"/>
    </row>
    <row r="43" spans="1:10">
      <c r="A43" s="27">
        <v>29</v>
      </c>
      <c r="B43" s="29">
        <v>41337</v>
      </c>
      <c r="C43" s="46">
        <f t="shared" si="6"/>
        <v>28</v>
      </c>
      <c r="D43" s="47">
        <f t="shared" si="1"/>
        <v>342</v>
      </c>
      <c r="E43" s="48">
        <f t="shared" si="7"/>
        <v>3205</v>
      </c>
      <c r="F43" s="48">
        <f t="shared" si="0"/>
        <v>3547</v>
      </c>
      <c r="G43" s="48">
        <f t="shared" si="8"/>
        <v>23556</v>
      </c>
      <c r="H43" s="49"/>
      <c r="I43" s="30"/>
      <c r="J43" s="27"/>
    </row>
    <row r="44" spans="1:10">
      <c r="A44" s="27">
        <v>30</v>
      </c>
      <c r="B44" s="29">
        <v>41365</v>
      </c>
      <c r="C44" s="46">
        <f t="shared" si="6"/>
        <v>28</v>
      </c>
      <c r="D44" s="47">
        <f t="shared" si="1"/>
        <v>301</v>
      </c>
      <c r="E44" s="48">
        <f t="shared" si="7"/>
        <v>3246</v>
      </c>
      <c r="F44" s="48">
        <f t="shared" si="0"/>
        <v>3547</v>
      </c>
      <c r="G44" s="48">
        <f t="shared" si="8"/>
        <v>20310</v>
      </c>
      <c r="H44" s="49"/>
      <c r="I44" s="30"/>
      <c r="J44" s="27"/>
    </row>
    <row r="45" spans="1:10">
      <c r="A45" s="27">
        <v>31</v>
      </c>
      <c r="B45" s="29">
        <v>41400</v>
      </c>
      <c r="C45" s="46">
        <f t="shared" si="6"/>
        <v>35</v>
      </c>
      <c r="D45" s="47">
        <f t="shared" si="1"/>
        <v>324</v>
      </c>
      <c r="E45" s="48">
        <f t="shared" si="7"/>
        <v>3223</v>
      </c>
      <c r="F45" s="48">
        <f t="shared" si="0"/>
        <v>3547</v>
      </c>
      <c r="G45" s="48">
        <f t="shared" si="8"/>
        <v>17087</v>
      </c>
      <c r="H45" s="49"/>
      <c r="I45" s="30"/>
      <c r="J45" s="27"/>
    </row>
    <row r="46" spans="1:10">
      <c r="A46" s="27">
        <v>32</v>
      </c>
      <c r="B46" s="29">
        <v>41428</v>
      </c>
      <c r="C46" s="46">
        <f t="shared" si="6"/>
        <v>28</v>
      </c>
      <c r="D46" s="47">
        <f t="shared" si="1"/>
        <v>218</v>
      </c>
      <c r="E46" s="48">
        <f t="shared" si="7"/>
        <v>3329</v>
      </c>
      <c r="F46" s="48">
        <f t="shared" si="0"/>
        <v>3547</v>
      </c>
      <c r="G46" s="48">
        <f t="shared" si="8"/>
        <v>13758</v>
      </c>
      <c r="H46" s="49"/>
      <c r="I46" s="30"/>
      <c r="J46" s="27"/>
    </row>
    <row r="47" spans="1:10">
      <c r="A47" s="27">
        <v>33</v>
      </c>
      <c r="B47" s="29">
        <v>41456</v>
      </c>
      <c r="C47" s="46">
        <f t="shared" si="6"/>
        <v>28</v>
      </c>
      <c r="D47" s="47">
        <f t="shared" si="1"/>
        <v>176</v>
      </c>
      <c r="E47" s="48">
        <f t="shared" si="7"/>
        <v>3371</v>
      </c>
      <c r="F47" s="48">
        <f t="shared" si="0"/>
        <v>3547</v>
      </c>
      <c r="G47" s="48">
        <f t="shared" si="8"/>
        <v>10387</v>
      </c>
      <c r="H47" s="49"/>
      <c r="I47" s="30"/>
      <c r="J47" s="27"/>
    </row>
    <row r="48" spans="1:10">
      <c r="A48" s="27">
        <v>34</v>
      </c>
      <c r="B48" s="29">
        <v>41491</v>
      </c>
      <c r="C48" s="46">
        <f t="shared" si="6"/>
        <v>35</v>
      </c>
      <c r="D48" s="47">
        <f t="shared" si="1"/>
        <v>166</v>
      </c>
      <c r="E48" s="48">
        <f t="shared" si="7"/>
        <v>3381</v>
      </c>
      <c r="F48" s="48">
        <f t="shared" si="0"/>
        <v>3547</v>
      </c>
      <c r="G48" s="48">
        <f t="shared" si="8"/>
        <v>7006</v>
      </c>
      <c r="H48" s="49"/>
      <c r="I48" s="30"/>
      <c r="J48" s="27"/>
    </row>
    <row r="49" spans="1:14">
      <c r="A49" s="27">
        <v>35</v>
      </c>
      <c r="B49" s="29">
        <v>41519</v>
      </c>
      <c r="C49" s="46">
        <f t="shared" si="6"/>
        <v>28</v>
      </c>
      <c r="D49" s="47">
        <f t="shared" si="1"/>
        <v>89</v>
      </c>
      <c r="E49" s="48">
        <f t="shared" si="7"/>
        <v>3458</v>
      </c>
      <c r="F49" s="48">
        <f t="shared" si="0"/>
        <v>3547</v>
      </c>
      <c r="G49" s="48">
        <f t="shared" si="8"/>
        <v>3548</v>
      </c>
      <c r="H49" s="49"/>
      <c r="I49" s="30"/>
      <c r="J49" s="27"/>
    </row>
    <row r="50" spans="1:14">
      <c r="A50" s="27">
        <v>36</v>
      </c>
      <c r="B50" s="29">
        <v>41554</v>
      </c>
      <c r="C50" s="46">
        <f t="shared" si="6"/>
        <v>35</v>
      </c>
      <c r="D50" s="47">
        <f t="shared" si="1"/>
        <v>57</v>
      </c>
      <c r="E50" s="48">
        <f t="shared" si="7"/>
        <v>3548</v>
      </c>
      <c r="F50" s="48">
        <v>3605</v>
      </c>
      <c r="G50" s="48">
        <f t="shared" si="8"/>
        <v>0</v>
      </c>
      <c r="H50" s="49">
        <f>F50+G50</f>
        <v>3605</v>
      </c>
      <c r="I50" s="30"/>
      <c r="J50" s="27"/>
    </row>
    <row r="51" spans="1:14">
      <c r="A51" s="27"/>
      <c r="B51" s="29"/>
      <c r="C51" s="46"/>
      <c r="D51" s="47"/>
      <c r="E51" s="48"/>
      <c r="F51" s="48"/>
      <c r="G51" s="48"/>
      <c r="H51" s="49"/>
      <c r="I51" s="30"/>
      <c r="J51" s="27"/>
    </row>
    <row r="52" spans="1:14">
      <c r="A52" s="27"/>
      <c r="B52" s="32" t="s">
        <v>5</v>
      </c>
      <c r="C52" s="57">
        <f>SUM(C15:C50)</f>
        <v>1099</v>
      </c>
      <c r="D52" s="57">
        <f>SUM(D15:D50)</f>
        <v>27750</v>
      </c>
      <c r="E52" s="58">
        <f>SUM(E15:E50)</f>
        <v>100000</v>
      </c>
      <c r="F52" s="57">
        <f>SUM(F15:F50)</f>
        <v>127750</v>
      </c>
      <c r="G52" s="48"/>
      <c r="H52" s="33"/>
      <c r="I52" s="27"/>
      <c r="J52" s="27"/>
    </row>
    <row r="53" spans="1:14">
      <c r="A53" s="27"/>
      <c r="B53" s="32"/>
      <c r="C53" s="50"/>
      <c r="D53" s="51"/>
      <c r="E53" s="52"/>
      <c r="F53" s="53"/>
      <c r="G53" s="48"/>
      <c r="H53" s="33"/>
      <c r="I53" s="27"/>
      <c r="J53" s="35"/>
    </row>
    <row r="55" spans="1:14">
      <c r="B55" s="2" t="s">
        <v>10</v>
      </c>
      <c r="D55" s="1"/>
    </row>
    <row r="56" spans="1:14">
      <c r="B56" s="2"/>
      <c r="D56" s="1"/>
      <c r="H56" s="25"/>
    </row>
    <row r="57" spans="1:14">
      <c r="B57" t="s">
        <v>6</v>
      </c>
      <c r="C57" s="4">
        <f>L15</f>
        <v>100000</v>
      </c>
      <c r="D57" s="1"/>
    </row>
    <row r="58" spans="1:14">
      <c r="B58" t="s">
        <v>16</v>
      </c>
      <c r="C58" s="4">
        <f>L16</f>
        <v>36</v>
      </c>
      <c r="D58" s="1"/>
    </row>
    <row r="59" spans="1:14">
      <c r="B59" s="24" t="s">
        <v>12</v>
      </c>
      <c r="C59" s="40">
        <v>40546</v>
      </c>
      <c r="D59" s="1"/>
    </row>
    <row r="60" spans="1:14">
      <c r="C60" s="21"/>
      <c r="D60" s="1"/>
    </row>
    <row r="61" spans="1:14">
      <c r="C61" s="3"/>
      <c r="D61" s="1"/>
      <c r="G61" t="s">
        <v>14</v>
      </c>
    </row>
    <row r="62" spans="1:14">
      <c r="A62" s="32" t="s">
        <v>13</v>
      </c>
      <c r="B62" s="32" t="s">
        <v>9</v>
      </c>
      <c r="C62" s="41" t="s">
        <v>11</v>
      </c>
      <c r="D62" s="54" t="s">
        <v>2</v>
      </c>
      <c r="E62" s="41" t="s">
        <v>3</v>
      </c>
      <c r="F62" s="41" t="s">
        <v>22</v>
      </c>
      <c r="G62" s="42">
        <f>L15</f>
        <v>100000</v>
      </c>
      <c r="H62" s="56" t="s">
        <v>26</v>
      </c>
      <c r="I62" s="44"/>
      <c r="J62" s="45"/>
      <c r="K62" s="36" t="s">
        <v>17</v>
      </c>
      <c r="L62" s="26">
        <f>L65/100/12</f>
        <v>1.3856666666666668E-2</v>
      </c>
      <c r="M62" t="s">
        <v>23</v>
      </c>
    </row>
    <row r="63" spans="1:14">
      <c r="A63" s="27">
        <v>1</v>
      </c>
      <c r="B63" s="29">
        <v>40581</v>
      </c>
      <c r="C63" s="46">
        <f>B63-C59</f>
        <v>35</v>
      </c>
      <c r="D63" s="48">
        <f>ROUND($L$66*G62*C63,0)</f>
        <v>1594</v>
      </c>
      <c r="E63" s="48">
        <f>F63-D63</f>
        <v>1953</v>
      </c>
      <c r="F63" s="48">
        <f>$N$64</f>
        <v>3547</v>
      </c>
      <c r="G63" s="48">
        <f>G62-E63</f>
        <v>98047</v>
      </c>
      <c r="H63" s="48"/>
      <c r="I63" s="48"/>
      <c r="J63" s="35"/>
      <c r="K63" s="37" t="s">
        <v>18</v>
      </c>
      <c r="L63" s="26">
        <v>100000</v>
      </c>
    </row>
    <row r="64" spans="1:14">
      <c r="A64" s="27">
        <v>2</v>
      </c>
      <c r="B64" s="29">
        <v>40609</v>
      </c>
      <c r="C64" s="46">
        <f>B64-B63</f>
        <v>28</v>
      </c>
      <c r="D64" s="48">
        <f t="shared" ref="D64:D98" si="9">ROUND($L$66*G63*C64,0)</f>
        <v>1251</v>
      </c>
      <c r="E64" s="48">
        <f>F64-D64</f>
        <v>2296</v>
      </c>
      <c r="F64" s="48">
        <f t="shared" ref="F64:F97" si="10">$N$64</f>
        <v>3547</v>
      </c>
      <c r="G64" s="48">
        <f>G63-E64</f>
        <v>95751</v>
      </c>
      <c r="H64" s="48"/>
      <c r="I64" s="48"/>
      <c r="J64" s="35"/>
      <c r="K64" s="37" t="s">
        <v>19</v>
      </c>
      <c r="L64" s="26">
        <v>36</v>
      </c>
      <c r="M64" t="s">
        <v>24</v>
      </c>
      <c r="N64" s="24">
        <f>ROUND((L62*L63)/(1-(1+L62)^-L64),0)</f>
        <v>3547</v>
      </c>
    </row>
    <row r="65" spans="1:12">
      <c r="A65" s="27">
        <v>3</v>
      </c>
      <c r="B65" s="29">
        <v>40637</v>
      </c>
      <c r="C65" s="46">
        <f t="shared" ref="C65:C76" si="11">B65-B64</f>
        <v>28</v>
      </c>
      <c r="D65" s="48">
        <f t="shared" si="9"/>
        <v>1221</v>
      </c>
      <c r="E65" s="48">
        <f t="shared" ref="E65:E86" si="12">F65-D65</f>
        <v>2326</v>
      </c>
      <c r="F65" s="48">
        <f t="shared" si="10"/>
        <v>3547</v>
      </c>
      <c r="G65" s="48">
        <f t="shared" ref="G65:G86" si="13">G64-E65</f>
        <v>93425</v>
      </c>
      <c r="H65" s="48"/>
      <c r="I65" s="48"/>
      <c r="J65" s="35"/>
      <c r="K65" s="37" t="s">
        <v>20</v>
      </c>
      <c r="L65" s="26">
        <v>16.628</v>
      </c>
    </row>
    <row r="66" spans="1:12">
      <c r="A66" s="27">
        <v>4</v>
      </c>
      <c r="B66" s="29">
        <v>40665</v>
      </c>
      <c r="C66" s="46">
        <f>B66-B65</f>
        <v>28</v>
      </c>
      <c r="D66" s="48">
        <f t="shared" si="9"/>
        <v>1192</v>
      </c>
      <c r="E66" s="48">
        <f t="shared" si="12"/>
        <v>2355</v>
      </c>
      <c r="F66" s="48">
        <f t="shared" si="10"/>
        <v>3547</v>
      </c>
      <c r="G66" s="48">
        <f t="shared" si="13"/>
        <v>91070</v>
      </c>
      <c r="H66" s="48"/>
      <c r="I66" s="48"/>
      <c r="J66" s="35"/>
      <c r="K66" s="37" t="s">
        <v>25</v>
      </c>
      <c r="L66" s="26">
        <f>L65/36500</f>
        <v>4.5556164383561644E-4</v>
      </c>
    </row>
    <row r="67" spans="1:12">
      <c r="A67" s="27">
        <v>5</v>
      </c>
      <c r="B67" s="29">
        <v>40700</v>
      </c>
      <c r="C67" s="46">
        <f>B67-B66</f>
        <v>35</v>
      </c>
      <c r="D67" s="48">
        <f t="shared" si="9"/>
        <v>1452</v>
      </c>
      <c r="E67" s="48">
        <f t="shared" si="12"/>
        <v>2095</v>
      </c>
      <c r="F67" s="48">
        <f t="shared" si="10"/>
        <v>3547</v>
      </c>
      <c r="G67" s="48">
        <f t="shared" si="13"/>
        <v>88975</v>
      </c>
      <c r="H67" s="48"/>
      <c r="I67" s="48"/>
      <c r="J67" s="35"/>
    </row>
    <row r="68" spans="1:12">
      <c r="A68" s="27">
        <v>6</v>
      </c>
      <c r="B68" s="29">
        <v>40728</v>
      </c>
      <c r="C68" s="46">
        <f>B68-B67</f>
        <v>28</v>
      </c>
      <c r="D68" s="48">
        <f t="shared" si="9"/>
        <v>1135</v>
      </c>
      <c r="E68" s="48">
        <f t="shared" si="12"/>
        <v>2412</v>
      </c>
      <c r="F68" s="48">
        <f t="shared" si="10"/>
        <v>3547</v>
      </c>
      <c r="G68" s="48">
        <f t="shared" si="13"/>
        <v>86563</v>
      </c>
      <c r="H68" s="48"/>
      <c r="I68" s="48"/>
      <c r="J68" s="35"/>
    </row>
    <row r="69" spans="1:12">
      <c r="A69" s="27">
        <v>7</v>
      </c>
      <c r="B69" s="29">
        <v>40756</v>
      </c>
      <c r="C69" s="46">
        <f t="shared" si="11"/>
        <v>28</v>
      </c>
      <c r="D69" s="48">
        <f t="shared" si="9"/>
        <v>1104</v>
      </c>
      <c r="E69" s="48">
        <f t="shared" si="12"/>
        <v>2443</v>
      </c>
      <c r="F69" s="48">
        <f t="shared" si="10"/>
        <v>3547</v>
      </c>
      <c r="G69" s="48">
        <f t="shared" si="13"/>
        <v>84120</v>
      </c>
      <c r="H69" s="48"/>
      <c r="I69" s="48"/>
      <c r="J69" s="35"/>
    </row>
    <row r="70" spans="1:12">
      <c r="A70" s="27">
        <v>8</v>
      </c>
      <c r="B70" s="29">
        <v>40791</v>
      </c>
      <c r="C70" s="46">
        <f t="shared" si="11"/>
        <v>35</v>
      </c>
      <c r="D70" s="48">
        <f t="shared" si="9"/>
        <v>1341</v>
      </c>
      <c r="E70" s="48">
        <f t="shared" si="12"/>
        <v>2206</v>
      </c>
      <c r="F70" s="48">
        <f t="shared" si="10"/>
        <v>3547</v>
      </c>
      <c r="G70" s="48">
        <f t="shared" si="13"/>
        <v>81914</v>
      </c>
      <c r="H70" s="48"/>
      <c r="I70" s="48"/>
      <c r="J70" s="35"/>
    </row>
    <row r="71" spans="1:12">
      <c r="A71" s="27">
        <v>9</v>
      </c>
      <c r="B71" s="29">
        <v>40819</v>
      </c>
      <c r="C71" s="46">
        <f t="shared" si="11"/>
        <v>28</v>
      </c>
      <c r="D71" s="48">
        <f t="shared" si="9"/>
        <v>1045</v>
      </c>
      <c r="E71" s="48">
        <f t="shared" si="12"/>
        <v>2502</v>
      </c>
      <c r="F71" s="48">
        <f t="shared" si="10"/>
        <v>3547</v>
      </c>
      <c r="G71" s="48">
        <f t="shared" si="13"/>
        <v>79412</v>
      </c>
      <c r="H71" s="48"/>
      <c r="I71" s="48"/>
      <c r="J71" s="35"/>
    </row>
    <row r="72" spans="1:12">
      <c r="A72" s="27">
        <v>10</v>
      </c>
      <c r="B72" s="29">
        <v>40854</v>
      </c>
      <c r="C72" s="46">
        <f t="shared" si="11"/>
        <v>35</v>
      </c>
      <c r="D72" s="48">
        <f t="shared" si="9"/>
        <v>1266</v>
      </c>
      <c r="E72" s="48">
        <f t="shared" si="12"/>
        <v>2281</v>
      </c>
      <c r="F72" s="48">
        <f t="shared" si="10"/>
        <v>3547</v>
      </c>
      <c r="G72" s="48">
        <f t="shared" si="13"/>
        <v>77131</v>
      </c>
      <c r="H72" s="48"/>
      <c r="I72" s="48"/>
      <c r="J72" s="35"/>
    </row>
    <row r="73" spans="1:12">
      <c r="A73" s="27">
        <v>11</v>
      </c>
      <c r="B73" s="29">
        <v>40882</v>
      </c>
      <c r="C73" s="46">
        <f t="shared" si="11"/>
        <v>28</v>
      </c>
      <c r="D73" s="48">
        <f t="shared" si="9"/>
        <v>984</v>
      </c>
      <c r="E73" s="48">
        <f t="shared" si="12"/>
        <v>2563</v>
      </c>
      <c r="F73" s="48">
        <f t="shared" si="10"/>
        <v>3547</v>
      </c>
      <c r="G73" s="48">
        <f t="shared" si="13"/>
        <v>74568</v>
      </c>
      <c r="H73" s="48"/>
      <c r="I73" s="48"/>
      <c r="J73" s="35"/>
    </row>
    <row r="74" spans="1:12">
      <c r="A74" s="27">
        <v>12</v>
      </c>
      <c r="B74" s="29">
        <v>40910</v>
      </c>
      <c r="C74" s="46">
        <f t="shared" si="11"/>
        <v>28</v>
      </c>
      <c r="D74" s="48">
        <f t="shared" si="9"/>
        <v>951</v>
      </c>
      <c r="E74" s="48">
        <f t="shared" si="12"/>
        <v>2596</v>
      </c>
      <c r="F74" s="48">
        <f t="shared" si="10"/>
        <v>3547</v>
      </c>
      <c r="G74" s="48">
        <f t="shared" si="13"/>
        <v>71972</v>
      </c>
      <c r="H74" s="48"/>
      <c r="I74" s="48"/>
      <c r="J74" s="35"/>
    </row>
    <row r="75" spans="1:12">
      <c r="A75" s="27">
        <v>13</v>
      </c>
      <c r="B75" s="29">
        <v>40945</v>
      </c>
      <c r="C75" s="46">
        <f t="shared" si="11"/>
        <v>35</v>
      </c>
      <c r="D75" s="48">
        <f t="shared" si="9"/>
        <v>1148</v>
      </c>
      <c r="E75" s="48">
        <f t="shared" si="12"/>
        <v>2399</v>
      </c>
      <c r="F75" s="48">
        <f t="shared" si="10"/>
        <v>3547</v>
      </c>
      <c r="G75" s="48">
        <f t="shared" si="13"/>
        <v>69573</v>
      </c>
      <c r="H75" s="48"/>
      <c r="I75" s="48"/>
      <c r="J75" s="35"/>
    </row>
    <row r="76" spans="1:12">
      <c r="A76" s="27">
        <v>14</v>
      </c>
      <c r="B76" s="29">
        <v>40973</v>
      </c>
      <c r="C76" s="46">
        <f t="shared" si="11"/>
        <v>28</v>
      </c>
      <c r="D76" s="48">
        <f t="shared" si="9"/>
        <v>887</v>
      </c>
      <c r="E76" s="48">
        <f t="shared" si="12"/>
        <v>2660</v>
      </c>
      <c r="F76" s="48">
        <f t="shared" si="10"/>
        <v>3547</v>
      </c>
      <c r="G76" s="48">
        <f t="shared" si="13"/>
        <v>66913</v>
      </c>
      <c r="H76" s="48"/>
      <c r="I76" s="48"/>
      <c r="J76" s="35"/>
    </row>
    <row r="77" spans="1:12">
      <c r="A77" s="59">
        <v>15</v>
      </c>
      <c r="B77" s="60">
        <v>41001</v>
      </c>
      <c r="C77" s="61">
        <f>B77-B76</f>
        <v>28</v>
      </c>
      <c r="D77" s="48">
        <f t="shared" si="9"/>
        <v>854</v>
      </c>
      <c r="E77" s="62">
        <f t="shared" si="12"/>
        <v>2693</v>
      </c>
      <c r="F77" s="48">
        <f t="shared" si="10"/>
        <v>3547</v>
      </c>
      <c r="G77" s="62">
        <f t="shared" si="13"/>
        <v>64220</v>
      </c>
      <c r="H77" s="62"/>
      <c r="I77" s="62"/>
      <c r="J77" s="63"/>
    </row>
    <row r="78" spans="1:12" s="27" customFormat="1">
      <c r="A78" s="27">
        <v>16</v>
      </c>
      <c r="B78" s="29">
        <v>41036</v>
      </c>
      <c r="C78" s="46">
        <f t="shared" ref="C78:C86" si="14">B78-B77</f>
        <v>35</v>
      </c>
      <c r="D78" s="48">
        <f t="shared" si="9"/>
        <v>1024</v>
      </c>
      <c r="E78" s="48">
        <f t="shared" si="12"/>
        <v>2523</v>
      </c>
      <c r="F78" s="48">
        <f t="shared" si="10"/>
        <v>3547</v>
      </c>
      <c r="G78" s="48">
        <f t="shared" si="13"/>
        <v>61697</v>
      </c>
      <c r="H78" s="49"/>
      <c r="I78" s="30"/>
    </row>
    <row r="79" spans="1:12" s="27" customFormat="1">
      <c r="A79" s="27">
        <v>17</v>
      </c>
      <c r="B79" s="29">
        <v>41064</v>
      </c>
      <c r="C79" s="46">
        <f t="shared" si="14"/>
        <v>28</v>
      </c>
      <c r="D79" s="48">
        <f t="shared" si="9"/>
        <v>787</v>
      </c>
      <c r="E79" s="48">
        <f t="shared" si="12"/>
        <v>2760</v>
      </c>
      <c r="F79" s="48">
        <f t="shared" si="10"/>
        <v>3547</v>
      </c>
      <c r="G79" s="48">
        <f t="shared" si="13"/>
        <v>58937</v>
      </c>
      <c r="H79" s="49"/>
      <c r="I79" s="30"/>
    </row>
    <row r="80" spans="1:12" s="27" customFormat="1">
      <c r="A80" s="27">
        <v>18</v>
      </c>
      <c r="B80" s="29">
        <v>41092</v>
      </c>
      <c r="C80" s="46">
        <f t="shared" si="14"/>
        <v>28</v>
      </c>
      <c r="D80" s="48">
        <f t="shared" si="9"/>
        <v>752</v>
      </c>
      <c r="E80" s="48">
        <f t="shared" si="12"/>
        <v>2795</v>
      </c>
      <c r="F80" s="48">
        <f t="shared" si="10"/>
        <v>3547</v>
      </c>
      <c r="G80" s="48">
        <f t="shared" si="13"/>
        <v>56142</v>
      </c>
      <c r="H80" s="49"/>
      <c r="I80" s="30"/>
    </row>
    <row r="81" spans="1:10" s="27" customFormat="1">
      <c r="A81" s="27">
        <v>19</v>
      </c>
      <c r="B81" s="29">
        <v>41127</v>
      </c>
      <c r="C81" s="46">
        <f t="shared" si="14"/>
        <v>35</v>
      </c>
      <c r="D81" s="48">
        <f t="shared" si="9"/>
        <v>895</v>
      </c>
      <c r="E81" s="48">
        <f t="shared" si="12"/>
        <v>2652</v>
      </c>
      <c r="F81" s="48">
        <f t="shared" si="10"/>
        <v>3547</v>
      </c>
      <c r="G81" s="48">
        <f t="shared" si="13"/>
        <v>53490</v>
      </c>
      <c r="H81" s="49"/>
      <c r="I81" s="30"/>
    </row>
    <row r="82" spans="1:10" s="27" customFormat="1">
      <c r="A82" s="27">
        <v>20</v>
      </c>
      <c r="B82" s="29">
        <v>41155</v>
      </c>
      <c r="C82" s="46">
        <f t="shared" si="14"/>
        <v>28</v>
      </c>
      <c r="D82" s="48">
        <f t="shared" si="9"/>
        <v>682</v>
      </c>
      <c r="E82" s="48">
        <f t="shared" si="12"/>
        <v>2865</v>
      </c>
      <c r="F82" s="48">
        <f t="shared" si="10"/>
        <v>3547</v>
      </c>
      <c r="G82" s="48">
        <f t="shared" si="13"/>
        <v>50625</v>
      </c>
      <c r="H82" s="49"/>
      <c r="I82" s="30"/>
    </row>
    <row r="83" spans="1:10">
      <c r="A83" s="27">
        <v>21</v>
      </c>
      <c r="B83" s="29">
        <v>41183</v>
      </c>
      <c r="C83" s="46">
        <f t="shared" si="14"/>
        <v>28</v>
      </c>
      <c r="D83" s="48">
        <f t="shared" si="9"/>
        <v>646</v>
      </c>
      <c r="E83" s="48">
        <f t="shared" si="12"/>
        <v>2901</v>
      </c>
      <c r="F83" s="48">
        <f t="shared" si="10"/>
        <v>3547</v>
      </c>
      <c r="G83" s="48">
        <f t="shared" si="13"/>
        <v>47724</v>
      </c>
      <c r="H83" s="49"/>
      <c r="I83" s="30"/>
      <c r="J83" s="27"/>
    </row>
    <row r="84" spans="1:10">
      <c r="A84" s="27">
        <v>22</v>
      </c>
      <c r="B84" s="29">
        <v>41218</v>
      </c>
      <c r="C84" s="46">
        <f t="shared" si="14"/>
        <v>35</v>
      </c>
      <c r="D84" s="48">
        <f t="shared" si="9"/>
        <v>761</v>
      </c>
      <c r="E84" s="48">
        <f t="shared" si="12"/>
        <v>2786</v>
      </c>
      <c r="F84" s="48">
        <f t="shared" si="10"/>
        <v>3547</v>
      </c>
      <c r="G84" s="48">
        <f t="shared" si="13"/>
        <v>44938</v>
      </c>
      <c r="H84" s="49"/>
      <c r="I84" s="30"/>
      <c r="J84" s="27"/>
    </row>
    <row r="85" spans="1:10">
      <c r="A85" s="27">
        <v>23</v>
      </c>
      <c r="B85" s="29">
        <v>41246</v>
      </c>
      <c r="C85" s="46">
        <f t="shared" si="14"/>
        <v>28</v>
      </c>
      <c r="D85" s="48">
        <f t="shared" si="9"/>
        <v>573</v>
      </c>
      <c r="E85" s="48">
        <f t="shared" si="12"/>
        <v>2974</v>
      </c>
      <c r="F85" s="48">
        <f t="shared" si="10"/>
        <v>3547</v>
      </c>
      <c r="G85" s="48">
        <f t="shared" si="13"/>
        <v>41964</v>
      </c>
      <c r="H85" s="49"/>
      <c r="I85" s="30"/>
      <c r="J85" s="27"/>
    </row>
    <row r="86" spans="1:10">
      <c r="A86" s="27">
        <v>24</v>
      </c>
      <c r="B86" s="29">
        <v>41281</v>
      </c>
      <c r="C86" s="46">
        <f t="shared" si="14"/>
        <v>35</v>
      </c>
      <c r="D86" s="48">
        <f t="shared" si="9"/>
        <v>669</v>
      </c>
      <c r="E86" s="48">
        <f t="shared" si="12"/>
        <v>2878</v>
      </c>
      <c r="F86" s="48">
        <f t="shared" si="10"/>
        <v>3547</v>
      </c>
      <c r="G86" s="48">
        <f t="shared" si="13"/>
        <v>39086</v>
      </c>
      <c r="H86" s="49"/>
      <c r="I86" s="30"/>
      <c r="J86" s="27"/>
    </row>
    <row r="87" spans="1:10">
      <c r="A87" s="27">
        <v>25</v>
      </c>
      <c r="B87" s="29">
        <v>41309</v>
      </c>
      <c r="C87" s="46">
        <f t="shared" ref="C87:C98" si="15">B87-B86</f>
        <v>28</v>
      </c>
      <c r="D87" s="48">
        <f t="shared" si="9"/>
        <v>499</v>
      </c>
      <c r="E87" s="48">
        <f t="shared" ref="E87:E98" si="16">F87-D87</f>
        <v>3048</v>
      </c>
      <c r="F87" s="48">
        <f t="shared" si="10"/>
        <v>3547</v>
      </c>
      <c r="G87" s="48">
        <f t="shared" ref="G87:G98" si="17">G86-E87</f>
        <v>36038</v>
      </c>
      <c r="H87" s="49"/>
      <c r="I87" s="30"/>
      <c r="J87" s="27"/>
    </row>
    <row r="88" spans="1:10">
      <c r="A88" s="27">
        <v>26</v>
      </c>
      <c r="B88" s="29">
        <v>41337</v>
      </c>
      <c r="C88" s="46">
        <f t="shared" si="15"/>
        <v>28</v>
      </c>
      <c r="D88" s="48">
        <f t="shared" si="9"/>
        <v>460</v>
      </c>
      <c r="E88" s="48">
        <f t="shared" si="16"/>
        <v>3087</v>
      </c>
      <c r="F88" s="48">
        <f t="shared" si="10"/>
        <v>3547</v>
      </c>
      <c r="G88" s="48">
        <f t="shared" si="17"/>
        <v>32951</v>
      </c>
      <c r="H88" s="49"/>
      <c r="I88" s="30"/>
      <c r="J88" s="27"/>
    </row>
    <row r="89" spans="1:10">
      <c r="A89" s="27">
        <v>27</v>
      </c>
      <c r="B89" s="29">
        <v>41365</v>
      </c>
      <c r="C89" s="46">
        <f t="shared" si="15"/>
        <v>28</v>
      </c>
      <c r="D89" s="48">
        <f t="shared" si="9"/>
        <v>420</v>
      </c>
      <c r="E89" s="48">
        <f t="shared" si="16"/>
        <v>3127</v>
      </c>
      <c r="F89" s="48">
        <f t="shared" si="10"/>
        <v>3547</v>
      </c>
      <c r="G89" s="48">
        <f t="shared" si="17"/>
        <v>29824</v>
      </c>
      <c r="H89" s="49"/>
      <c r="I89" s="30"/>
      <c r="J89" s="27"/>
    </row>
    <row r="90" spans="1:10">
      <c r="A90" s="27">
        <v>28</v>
      </c>
      <c r="B90" s="29">
        <v>41400</v>
      </c>
      <c r="C90" s="46">
        <f t="shared" si="15"/>
        <v>35</v>
      </c>
      <c r="D90" s="48">
        <f t="shared" si="9"/>
        <v>476</v>
      </c>
      <c r="E90" s="48">
        <f t="shared" si="16"/>
        <v>3071</v>
      </c>
      <c r="F90" s="48">
        <f t="shared" si="10"/>
        <v>3547</v>
      </c>
      <c r="G90" s="48">
        <f t="shared" si="17"/>
        <v>26753</v>
      </c>
      <c r="H90" s="49"/>
      <c r="I90" s="30"/>
      <c r="J90" s="27"/>
    </row>
    <row r="91" spans="1:10">
      <c r="A91" s="27">
        <v>29</v>
      </c>
      <c r="B91" s="29">
        <v>41428</v>
      </c>
      <c r="C91" s="46">
        <f t="shared" si="15"/>
        <v>28</v>
      </c>
      <c r="D91" s="48">
        <f t="shared" si="9"/>
        <v>341</v>
      </c>
      <c r="E91" s="48">
        <f t="shared" si="16"/>
        <v>3206</v>
      </c>
      <c r="F91" s="48">
        <f t="shared" si="10"/>
        <v>3547</v>
      </c>
      <c r="G91" s="48">
        <f t="shared" si="17"/>
        <v>23547</v>
      </c>
      <c r="H91" s="49"/>
      <c r="I91" s="30"/>
      <c r="J91" s="27"/>
    </row>
    <row r="92" spans="1:10">
      <c r="A92" s="27">
        <v>30</v>
      </c>
      <c r="B92" s="29">
        <v>41456</v>
      </c>
      <c r="C92" s="46">
        <f t="shared" si="15"/>
        <v>28</v>
      </c>
      <c r="D92" s="48">
        <f t="shared" si="9"/>
        <v>300</v>
      </c>
      <c r="E92" s="48">
        <f t="shared" si="16"/>
        <v>3247</v>
      </c>
      <c r="F92" s="48">
        <f t="shared" si="10"/>
        <v>3547</v>
      </c>
      <c r="G92" s="48">
        <f t="shared" si="17"/>
        <v>20300</v>
      </c>
      <c r="H92" s="49"/>
      <c r="I92" s="30"/>
      <c r="J92" s="27"/>
    </row>
    <row r="93" spans="1:10">
      <c r="A93" s="27">
        <v>31</v>
      </c>
      <c r="B93" s="29">
        <v>41491</v>
      </c>
      <c r="C93" s="46">
        <f t="shared" si="15"/>
        <v>35</v>
      </c>
      <c r="D93" s="48">
        <f t="shared" si="9"/>
        <v>324</v>
      </c>
      <c r="E93" s="48">
        <f t="shared" si="16"/>
        <v>3223</v>
      </c>
      <c r="F93" s="48">
        <f t="shared" si="10"/>
        <v>3547</v>
      </c>
      <c r="G93" s="48">
        <f t="shared" si="17"/>
        <v>17077</v>
      </c>
      <c r="H93" s="49"/>
      <c r="I93" s="30"/>
      <c r="J93" s="27"/>
    </row>
    <row r="94" spans="1:10">
      <c r="A94" s="27">
        <v>32</v>
      </c>
      <c r="B94" s="29">
        <v>41519</v>
      </c>
      <c r="C94" s="46">
        <f t="shared" si="15"/>
        <v>28</v>
      </c>
      <c r="D94" s="48">
        <f t="shared" si="9"/>
        <v>218</v>
      </c>
      <c r="E94" s="48">
        <f t="shared" si="16"/>
        <v>3329</v>
      </c>
      <c r="F94" s="48">
        <f t="shared" si="10"/>
        <v>3547</v>
      </c>
      <c r="G94" s="48">
        <f t="shared" si="17"/>
        <v>13748</v>
      </c>
      <c r="H94" s="49"/>
      <c r="I94" s="30"/>
      <c r="J94" s="27"/>
    </row>
    <row r="95" spans="1:10">
      <c r="A95" s="27">
        <v>33</v>
      </c>
      <c r="B95" s="29">
        <v>41554</v>
      </c>
      <c r="C95" s="46">
        <f t="shared" si="15"/>
        <v>35</v>
      </c>
      <c r="D95" s="48">
        <f t="shared" si="9"/>
        <v>219</v>
      </c>
      <c r="E95" s="48">
        <f t="shared" si="16"/>
        <v>3328</v>
      </c>
      <c r="F95" s="48">
        <f t="shared" si="10"/>
        <v>3547</v>
      </c>
      <c r="G95" s="48">
        <f t="shared" si="17"/>
        <v>10420</v>
      </c>
      <c r="H95" s="49"/>
      <c r="I95" s="30"/>
      <c r="J95" s="27"/>
    </row>
    <row r="96" spans="1:10">
      <c r="A96" s="27">
        <v>34</v>
      </c>
      <c r="B96" s="29">
        <v>41582</v>
      </c>
      <c r="C96" s="46">
        <f t="shared" si="15"/>
        <v>28</v>
      </c>
      <c r="D96" s="48">
        <f t="shared" si="9"/>
        <v>133</v>
      </c>
      <c r="E96" s="48">
        <f t="shared" si="16"/>
        <v>3414</v>
      </c>
      <c r="F96" s="48">
        <f t="shared" si="10"/>
        <v>3547</v>
      </c>
      <c r="G96" s="48">
        <f t="shared" si="17"/>
        <v>7006</v>
      </c>
      <c r="H96" s="49"/>
      <c r="I96" s="30"/>
      <c r="J96" s="27"/>
    </row>
    <row r="97" spans="1:14">
      <c r="A97" s="27">
        <v>35</v>
      </c>
      <c r="B97" s="29">
        <v>41610</v>
      </c>
      <c r="C97" s="46">
        <f t="shared" si="15"/>
        <v>28</v>
      </c>
      <c r="D97" s="48">
        <f t="shared" si="9"/>
        <v>89</v>
      </c>
      <c r="E97" s="48">
        <f t="shared" si="16"/>
        <v>3458</v>
      </c>
      <c r="F97" s="48">
        <f t="shared" si="10"/>
        <v>3547</v>
      </c>
      <c r="G97" s="48">
        <f t="shared" si="17"/>
        <v>3548</v>
      </c>
      <c r="H97" s="49"/>
      <c r="I97" s="30"/>
      <c r="J97" s="27"/>
    </row>
    <row r="98" spans="1:14">
      <c r="A98" s="27">
        <v>36</v>
      </c>
      <c r="B98" s="29">
        <v>41645</v>
      </c>
      <c r="C98" s="46">
        <f t="shared" si="15"/>
        <v>35</v>
      </c>
      <c r="D98" s="48">
        <f t="shared" si="9"/>
        <v>57</v>
      </c>
      <c r="E98" s="48">
        <f t="shared" si="16"/>
        <v>3548</v>
      </c>
      <c r="F98" s="48">
        <v>3605</v>
      </c>
      <c r="G98" s="48">
        <f t="shared" si="17"/>
        <v>0</v>
      </c>
      <c r="H98" s="49">
        <f>F98+G98</f>
        <v>3605</v>
      </c>
      <c r="I98" s="30"/>
      <c r="J98" s="27"/>
    </row>
    <row r="99" spans="1:14" s="27" customFormat="1">
      <c r="B99" s="29"/>
      <c r="C99" s="46"/>
      <c r="D99" s="48"/>
      <c r="E99" s="48"/>
      <c r="F99" s="48"/>
      <c r="G99" s="48"/>
      <c r="H99" s="49"/>
      <c r="I99" s="30"/>
    </row>
    <row r="100" spans="1:14">
      <c r="A100" s="27"/>
      <c r="B100" s="32" t="s">
        <v>5</v>
      </c>
      <c r="C100" s="57">
        <f>SUM(C63:C98)</f>
        <v>1099</v>
      </c>
      <c r="D100" s="57">
        <f>SUM(D63:D98)</f>
        <v>27750</v>
      </c>
      <c r="E100" s="58">
        <f>SUM(E63:E98)</f>
        <v>100000</v>
      </c>
      <c r="F100" s="57">
        <f>SUM(F63:F98)</f>
        <v>127750</v>
      </c>
      <c r="G100" s="48"/>
      <c r="H100" s="33"/>
      <c r="I100" s="27"/>
      <c r="J100" s="27"/>
    </row>
    <row r="101" spans="1:14" s="2" customFormat="1">
      <c r="A101" s="64"/>
      <c r="B101" s="64"/>
      <c r="C101" s="65"/>
      <c r="D101" s="66"/>
      <c r="E101" s="66"/>
      <c r="F101" s="66"/>
      <c r="G101" s="66"/>
      <c r="H101" s="66"/>
      <c r="I101" s="67"/>
      <c r="J101" s="68"/>
    </row>
    <row r="103" spans="1:14">
      <c r="B103" s="2" t="s">
        <v>27</v>
      </c>
      <c r="D103" s="1"/>
    </row>
    <row r="104" spans="1:14">
      <c r="B104" s="2"/>
      <c r="D104" s="1"/>
      <c r="H104" s="25"/>
    </row>
    <row r="105" spans="1:14">
      <c r="B105" t="s">
        <v>6</v>
      </c>
      <c r="C105" s="4">
        <f>L15</f>
        <v>100000</v>
      </c>
      <c r="D105" s="1"/>
    </row>
    <row r="106" spans="1:14">
      <c r="B106" t="s">
        <v>16</v>
      </c>
      <c r="C106" s="4">
        <f>L16</f>
        <v>36</v>
      </c>
      <c r="D106" s="1"/>
    </row>
    <row r="107" spans="1:14">
      <c r="B107" s="24" t="s">
        <v>12</v>
      </c>
      <c r="C107" s="40">
        <v>40609</v>
      </c>
      <c r="D107" s="1"/>
    </row>
    <row r="108" spans="1:14">
      <c r="C108" s="21"/>
      <c r="D108" s="1"/>
    </row>
    <row r="109" spans="1:14">
      <c r="C109" s="3"/>
      <c r="D109" s="1"/>
      <c r="G109" t="s">
        <v>14</v>
      </c>
    </row>
    <row r="110" spans="1:14">
      <c r="A110" s="32" t="s">
        <v>13</v>
      </c>
      <c r="B110" s="32" t="s">
        <v>9</v>
      </c>
      <c r="C110" s="41" t="s">
        <v>11</v>
      </c>
      <c r="D110" s="54" t="s">
        <v>2</v>
      </c>
      <c r="E110" s="41" t="s">
        <v>3</v>
      </c>
      <c r="F110" s="41" t="s">
        <v>22</v>
      </c>
      <c r="G110" s="42">
        <f>L15</f>
        <v>100000</v>
      </c>
      <c r="H110" s="55" t="s">
        <v>26</v>
      </c>
      <c r="I110" s="44"/>
      <c r="J110" s="45"/>
      <c r="K110" s="36" t="s">
        <v>17</v>
      </c>
      <c r="L110" s="26">
        <f>L113/100/12</f>
        <v>1.3937916666666668E-2</v>
      </c>
      <c r="M110" t="s">
        <v>23</v>
      </c>
    </row>
    <row r="111" spans="1:14">
      <c r="A111" s="27">
        <v>1</v>
      </c>
      <c r="B111" s="29">
        <v>40637</v>
      </c>
      <c r="C111" s="46">
        <f>B111-C107</f>
        <v>28</v>
      </c>
      <c r="D111" s="48">
        <f>ROUND($L$114*G110*C111,0)</f>
        <v>1283</v>
      </c>
      <c r="E111" s="48">
        <f>F111-D111</f>
        <v>2269</v>
      </c>
      <c r="F111" s="48">
        <f>$N$112</f>
        <v>3552</v>
      </c>
      <c r="G111" s="48">
        <f>G110-E111</f>
        <v>97731</v>
      </c>
      <c r="H111" s="48"/>
      <c r="I111" s="48"/>
      <c r="J111" s="35"/>
      <c r="K111" s="37" t="s">
        <v>18</v>
      </c>
      <c r="L111" s="26">
        <v>100000</v>
      </c>
    </row>
    <row r="112" spans="1:14">
      <c r="A112" s="27">
        <v>2</v>
      </c>
      <c r="B112" s="29">
        <v>40665</v>
      </c>
      <c r="C112" s="46">
        <f t="shared" ref="C112:C134" si="18">B112-B111</f>
        <v>28</v>
      </c>
      <c r="D112" s="48">
        <f t="shared" ref="D112:D146" si="19">ROUND($L$114*G111*C112,0)</f>
        <v>1254</v>
      </c>
      <c r="E112" s="48">
        <f>F112-D112</f>
        <v>2298</v>
      </c>
      <c r="F112" s="48">
        <f t="shared" ref="F112:F145" si="20">$N$112</f>
        <v>3552</v>
      </c>
      <c r="G112" s="48">
        <f>G111-E112</f>
        <v>95433</v>
      </c>
      <c r="H112" s="48"/>
      <c r="I112" s="48"/>
      <c r="J112" s="35"/>
      <c r="K112" s="37" t="s">
        <v>19</v>
      </c>
      <c r="L112" s="26">
        <v>36</v>
      </c>
      <c r="M112" t="s">
        <v>24</v>
      </c>
      <c r="N112" s="24">
        <f>ROUND((L110*L111)/(1-(1+L110)^-L112),0)</f>
        <v>3552</v>
      </c>
    </row>
    <row r="113" spans="1:12">
      <c r="A113" s="27">
        <v>3</v>
      </c>
      <c r="B113" s="29">
        <v>40700</v>
      </c>
      <c r="C113" s="46">
        <f t="shared" si="18"/>
        <v>35</v>
      </c>
      <c r="D113" s="48">
        <f t="shared" si="19"/>
        <v>1531</v>
      </c>
      <c r="E113" s="48">
        <f t="shared" ref="E113:E134" si="21">F113-D113</f>
        <v>2021</v>
      </c>
      <c r="F113" s="48">
        <f t="shared" si="20"/>
        <v>3552</v>
      </c>
      <c r="G113" s="48">
        <f t="shared" ref="G113:G134" si="22">G112-E113</f>
        <v>93412</v>
      </c>
      <c r="H113" s="48"/>
      <c r="I113" s="48"/>
      <c r="J113" s="35"/>
      <c r="K113" s="37" t="s">
        <v>20</v>
      </c>
      <c r="L113" s="26">
        <v>16.7255</v>
      </c>
    </row>
    <row r="114" spans="1:12">
      <c r="A114" s="27">
        <v>4</v>
      </c>
      <c r="B114" s="29">
        <v>40728</v>
      </c>
      <c r="C114" s="46">
        <f t="shared" si="18"/>
        <v>28</v>
      </c>
      <c r="D114" s="48">
        <f t="shared" si="19"/>
        <v>1199</v>
      </c>
      <c r="E114" s="48">
        <f t="shared" si="21"/>
        <v>2353</v>
      </c>
      <c r="F114" s="48">
        <f t="shared" si="20"/>
        <v>3552</v>
      </c>
      <c r="G114" s="48">
        <f t="shared" si="22"/>
        <v>91059</v>
      </c>
      <c r="H114" s="48"/>
      <c r="I114" s="48"/>
      <c r="J114" s="35"/>
      <c r="K114" s="37" t="s">
        <v>25</v>
      </c>
      <c r="L114" s="26">
        <f>L113/36500</f>
        <v>4.5823287671232875E-4</v>
      </c>
    </row>
    <row r="115" spans="1:12">
      <c r="A115" s="27">
        <v>5</v>
      </c>
      <c r="B115" s="29">
        <v>40756</v>
      </c>
      <c r="C115" s="46">
        <f t="shared" si="18"/>
        <v>28</v>
      </c>
      <c r="D115" s="48">
        <f t="shared" si="19"/>
        <v>1168</v>
      </c>
      <c r="E115" s="48">
        <f t="shared" si="21"/>
        <v>2384</v>
      </c>
      <c r="F115" s="48">
        <f t="shared" si="20"/>
        <v>3552</v>
      </c>
      <c r="G115" s="48">
        <f t="shared" si="22"/>
        <v>88675</v>
      </c>
      <c r="H115" s="48"/>
      <c r="I115" s="48"/>
      <c r="J115" s="35"/>
    </row>
    <row r="116" spans="1:12">
      <c r="A116" s="27">
        <v>6</v>
      </c>
      <c r="B116" s="29">
        <v>40791</v>
      </c>
      <c r="C116" s="46">
        <f t="shared" si="18"/>
        <v>35</v>
      </c>
      <c r="D116" s="48">
        <f t="shared" si="19"/>
        <v>1422</v>
      </c>
      <c r="E116" s="48">
        <f t="shared" si="21"/>
        <v>2130</v>
      </c>
      <c r="F116" s="48">
        <f t="shared" si="20"/>
        <v>3552</v>
      </c>
      <c r="G116" s="48">
        <f t="shared" si="22"/>
        <v>86545</v>
      </c>
      <c r="H116" s="48"/>
      <c r="I116" s="48"/>
      <c r="J116" s="35"/>
    </row>
    <row r="117" spans="1:12">
      <c r="A117" s="27">
        <v>7</v>
      </c>
      <c r="B117" s="29">
        <v>40819</v>
      </c>
      <c r="C117" s="46">
        <f t="shared" si="18"/>
        <v>28</v>
      </c>
      <c r="D117" s="48">
        <f t="shared" si="19"/>
        <v>1110</v>
      </c>
      <c r="E117" s="48">
        <f t="shared" si="21"/>
        <v>2442</v>
      </c>
      <c r="F117" s="48">
        <f t="shared" si="20"/>
        <v>3552</v>
      </c>
      <c r="G117" s="48">
        <f t="shared" si="22"/>
        <v>84103</v>
      </c>
      <c r="H117" s="48"/>
      <c r="I117" s="48"/>
      <c r="J117" s="35"/>
    </row>
    <row r="118" spans="1:12">
      <c r="A118" s="27">
        <v>8</v>
      </c>
      <c r="B118" s="29">
        <v>40854</v>
      </c>
      <c r="C118" s="46">
        <f t="shared" si="18"/>
        <v>35</v>
      </c>
      <c r="D118" s="48">
        <f t="shared" si="19"/>
        <v>1349</v>
      </c>
      <c r="E118" s="48">
        <f t="shared" si="21"/>
        <v>2203</v>
      </c>
      <c r="F118" s="48">
        <f t="shared" si="20"/>
        <v>3552</v>
      </c>
      <c r="G118" s="48">
        <f t="shared" si="22"/>
        <v>81900</v>
      </c>
      <c r="H118" s="48"/>
      <c r="I118" s="48"/>
      <c r="J118" s="35"/>
    </row>
    <row r="119" spans="1:12">
      <c r="A119" s="27">
        <v>9</v>
      </c>
      <c r="B119" s="29">
        <v>40882</v>
      </c>
      <c r="C119" s="46">
        <f t="shared" si="18"/>
        <v>28</v>
      </c>
      <c r="D119" s="48">
        <f t="shared" si="19"/>
        <v>1051</v>
      </c>
      <c r="E119" s="48">
        <f t="shared" si="21"/>
        <v>2501</v>
      </c>
      <c r="F119" s="48">
        <f t="shared" si="20"/>
        <v>3552</v>
      </c>
      <c r="G119" s="48">
        <f t="shared" si="22"/>
        <v>79399</v>
      </c>
      <c r="H119" s="48"/>
      <c r="I119" s="48"/>
      <c r="J119" s="35"/>
    </row>
    <row r="120" spans="1:12">
      <c r="A120" s="27">
        <v>10</v>
      </c>
      <c r="B120" s="29">
        <v>40910</v>
      </c>
      <c r="C120" s="46">
        <f t="shared" si="18"/>
        <v>28</v>
      </c>
      <c r="D120" s="48">
        <f t="shared" si="19"/>
        <v>1019</v>
      </c>
      <c r="E120" s="48">
        <f t="shared" si="21"/>
        <v>2533</v>
      </c>
      <c r="F120" s="48">
        <f t="shared" si="20"/>
        <v>3552</v>
      </c>
      <c r="G120" s="48">
        <f t="shared" si="22"/>
        <v>76866</v>
      </c>
      <c r="H120" s="48"/>
      <c r="I120" s="48"/>
      <c r="J120" s="35"/>
    </row>
    <row r="121" spans="1:12">
      <c r="A121" s="27">
        <v>11</v>
      </c>
      <c r="B121" s="29">
        <v>40945</v>
      </c>
      <c r="C121" s="46">
        <f t="shared" si="18"/>
        <v>35</v>
      </c>
      <c r="D121" s="48">
        <f t="shared" si="19"/>
        <v>1233</v>
      </c>
      <c r="E121" s="48">
        <f t="shared" si="21"/>
        <v>2319</v>
      </c>
      <c r="F121" s="48">
        <f t="shared" si="20"/>
        <v>3552</v>
      </c>
      <c r="G121" s="48">
        <f t="shared" si="22"/>
        <v>74547</v>
      </c>
      <c r="H121" s="48"/>
      <c r="I121" s="48"/>
      <c r="J121" s="35"/>
    </row>
    <row r="122" spans="1:12">
      <c r="A122" s="27">
        <v>12</v>
      </c>
      <c r="B122" s="29">
        <v>40973</v>
      </c>
      <c r="C122" s="46">
        <f t="shared" si="18"/>
        <v>28</v>
      </c>
      <c r="D122" s="48">
        <f t="shared" si="19"/>
        <v>956</v>
      </c>
      <c r="E122" s="48">
        <f t="shared" si="21"/>
        <v>2596</v>
      </c>
      <c r="F122" s="48">
        <f t="shared" si="20"/>
        <v>3552</v>
      </c>
      <c r="G122" s="48">
        <f t="shared" si="22"/>
        <v>71951</v>
      </c>
      <c r="H122" s="48"/>
      <c r="I122" s="48"/>
      <c r="J122" s="35"/>
    </row>
    <row r="123" spans="1:12">
      <c r="A123" s="27">
        <v>13</v>
      </c>
      <c r="B123" s="29">
        <v>41001</v>
      </c>
      <c r="C123" s="46">
        <f t="shared" si="18"/>
        <v>28</v>
      </c>
      <c r="D123" s="48">
        <f t="shared" si="19"/>
        <v>923</v>
      </c>
      <c r="E123" s="48">
        <f t="shared" si="21"/>
        <v>2629</v>
      </c>
      <c r="F123" s="48">
        <f t="shared" si="20"/>
        <v>3552</v>
      </c>
      <c r="G123" s="48">
        <f t="shared" si="22"/>
        <v>69322</v>
      </c>
      <c r="H123" s="48"/>
      <c r="I123" s="48"/>
      <c r="J123" s="35"/>
    </row>
    <row r="124" spans="1:12">
      <c r="A124" s="27">
        <v>14</v>
      </c>
      <c r="B124" s="29">
        <v>41036</v>
      </c>
      <c r="C124" s="46">
        <f t="shared" si="18"/>
        <v>35</v>
      </c>
      <c r="D124" s="48">
        <f t="shared" si="19"/>
        <v>1112</v>
      </c>
      <c r="E124" s="48">
        <f t="shared" si="21"/>
        <v>2440</v>
      </c>
      <c r="F124" s="48">
        <f t="shared" si="20"/>
        <v>3552</v>
      </c>
      <c r="G124" s="48">
        <f t="shared" si="22"/>
        <v>66882</v>
      </c>
      <c r="H124" s="48"/>
      <c r="I124" s="48"/>
      <c r="J124" s="35"/>
    </row>
    <row r="125" spans="1:12">
      <c r="A125" s="27">
        <v>15</v>
      </c>
      <c r="B125" s="29">
        <v>41064</v>
      </c>
      <c r="C125" s="46">
        <f t="shared" si="18"/>
        <v>28</v>
      </c>
      <c r="D125" s="48">
        <f t="shared" si="19"/>
        <v>858</v>
      </c>
      <c r="E125" s="48">
        <f t="shared" si="21"/>
        <v>2694</v>
      </c>
      <c r="F125" s="48">
        <f t="shared" si="20"/>
        <v>3552</v>
      </c>
      <c r="G125" s="48">
        <f t="shared" si="22"/>
        <v>64188</v>
      </c>
      <c r="H125" s="48"/>
      <c r="I125" s="48"/>
      <c r="J125" s="35"/>
    </row>
    <row r="126" spans="1:12">
      <c r="A126" s="27">
        <v>16</v>
      </c>
      <c r="B126" s="29">
        <v>41092</v>
      </c>
      <c r="C126" s="46">
        <f t="shared" si="18"/>
        <v>28</v>
      </c>
      <c r="D126" s="48">
        <f t="shared" si="19"/>
        <v>824</v>
      </c>
      <c r="E126" s="48">
        <f t="shared" si="21"/>
        <v>2728</v>
      </c>
      <c r="F126" s="48">
        <f t="shared" si="20"/>
        <v>3552</v>
      </c>
      <c r="G126" s="48">
        <f t="shared" si="22"/>
        <v>61460</v>
      </c>
      <c r="H126" s="49"/>
      <c r="I126" s="30"/>
      <c r="J126" s="27"/>
    </row>
    <row r="127" spans="1:12">
      <c r="A127" s="27">
        <v>17</v>
      </c>
      <c r="B127" s="29">
        <v>41127</v>
      </c>
      <c r="C127" s="46">
        <f t="shared" si="18"/>
        <v>35</v>
      </c>
      <c r="D127" s="48">
        <f t="shared" si="19"/>
        <v>986</v>
      </c>
      <c r="E127" s="48">
        <f t="shared" si="21"/>
        <v>2566</v>
      </c>
      <c r="F127" s="48">
        <f t="shared" si="20"/>
        <v>3552</v>
      </c>
      <c r="G127" s="48">
        <f t="shared" si="22"/>
        <v>58894</v>
      </c>
      <c r="H127" s="49"/>
      <c r="I127" s="30"/>
      <c r="J127" s="27"/>
    </row>
    <row r="128" spans="1:12">
      <c r="A128" s="27">
        <v>18</v>
      </c>
      <c r="B128" s="29">
        <v>41155</v>
      </c>
      <c r="C128" s="46">
        <f t="shared" si="18"/>
        <v>28</v>
      </c>
      <c r="D128" s="48">
        <f t="shared" si="19"/>
        <v>756</v>
      </c>
      <c r="E128" s="48">
        <f t="shared" si="21"/>
        <v>2796</v>
      </c>
      <c r="F128" s="48">
        <f t="shared" si="20"/>
        <v>3552</v>
      </c>
      <c r="G128" s="48">
        <f t="shared" si="22"/>
        <v>56098</v>
      </c>
      <c r="H128" s="49"/>
      <c r="I128" s="30"/>
      <c r="J128" s="27"/>
    </row>
    <row r="129" spans="1:10">
      <c r="A129" s="27">
        <v>19</v>
      </c>
      <c r="B129" s="29">
        <v>41183</v>
      </c>
      <c r="C129" s="46">
        <f t="shared" si="18"/>
        <v>28</v>
      </c>
      <c r="D129" s="48">
        <f t="shared" si="19"/>
        <v>720</v>
      </c>
      <c r="E129" s="48">
        <f t="shared" si="21"/>
        <v>2832</v>
      </c>
      <c r="F129" s="48">
        <f t="shared" si="20"/>
        <v>3552</v>
      </c>
      <c r="G129" s="48">
        <f t="shared" si="22"/>
        <v>53266</v>
      </c>
      <c r="H129" s="49"/>
      <c r="I129" s="30"/>
      <c r="J129" s="27"/>
    </row>
    <row r="130" spans="1:10">
      <c r="A130" s="27">
        <v>20</v>
      </c>
      <c r="B130" s="29">
        <v>41218</v>
      </c>
      <c r="C130" s="46">
        <f t="shared" si="18"/>
        <v>35</v>
      </c>
      <c r="D130" s="48">
        <f t="shared" si="19"/>
        <v>854</v>
      </c>
      <c r="E130" s="48">
        <f t="shared" si="21"/>
        <v>2698</v>
      </c>
      <c r="F130" s="48">
        <f t="shared" si="20"/>
        <v>3552</v>
      </c>
      <c r="G130" s="48">
        <f t="shared" si="22"/>
        <v>50568</v>
      </c>
      <c r="H130" s="49"/>
      <c r="I130" s="30"/>
      <c r="J130" s="27"/>
    </row>
    <row r="131" spans="1:10">
      <c r="A131" s="27">
        <v>21</v>
      </c>
      <c r="B131" s="29">
        <v>41246</v>
      </c>
      <c r="C131" s="46">
        <f t="shared" si="18"/>
        <v>28</v>
      </c>
      <c r="D131" s="48">
        <f t="shared" si="19"/>
        <v>649</v>
      </c>
      <c r="E131" s="48">
        <f t="shared" si="21"/>
        <v>2903</v>
      </c>
      <c r="F131" s="48">
        <f t="shared" si="20"/>
        <v>3552</v>
      </c>
      <c r="G131" s="48">
        <f t="shared" si="22"/>
        <v>47665</v>
      </c>
      <c r="H131" s="49"/>
      <c r="I131" s="30"/>
      <c r="J131" s="27"/>
    </row>
    <row r="132" spans="1:10">
      <c r="A132" s="27">
        <v>22</v>
      </c>
      <c r="B132" s="29">
        <v>41281</v>
      </c>
      <c r="C132" s="46">
        <f t="shared" si="18"/>
        <v>35</v>
      </c>
      <c r="D132" s="48">
        <f t="shared" si="19"/>
        <v>764</v>
      </c>
      <c r="E132" s="48">
        <f t="shared" si="21"/>
        <v>2788</v>
      </c>
      <c r="F132" s="48">
        <f t="shared" si="20"/>
        <v>3552</v>
      </c>
      <c r="G132" s="48">
        <f t="shared" si="22"/>
        <v>44877</v>
      </c>
      <c r="H132" s="49"/>
      <c r="I132" s="30"/>
      <c r="J132" s="27"/>
    </row>
    <row r="133" spans="1:10">
      <c r="A133" s="27">
        <v>23</v>
      </c>
      <c r="B133" s="29">
        <v>41309</v>
      </c>
      <c r="C133" s="46">
        <f t="shared" si="18"/>
        <v>28</v>
      </c>
      <c r="D133" s="48">
        <f t="shared" si="19"/>
        <v>576</v>
      </c>
      <c r="E133" s="48">
        <f t="shared" si="21"/>
        <v>2976</v>
      </c>
      <c r="F133" s="48">
        <f t="shared" si="20"/>
        <v>3552</v>
      </c>
      <c r="G133" s="48">
        <f t="shared" si="22"/>
        <v>41901</v>
      </c>
      <c r="H133" s="49"/>
      <c r="I133" s="30"/>
      <c r="J133" s="27"/>
    </row>
    <row r="134" spans="1:10">
      <c r="A134" s="27">
        <v>24</v>
      </c>
      <c r="B134" s="29">
        <v>41337</v>
      </c>
      <c r="C134" s="46">
        <f t="shared" si="18"/>
        <v>28</v>
      </c>
      <c r="D134" s="48">
        <f t="shared" si="19"/>
        <v>538</v>
      </c>
      <c r="E134" s="48">
        <f t="shared" si="21"/>
        <v>3014</v>
      </c>
      <c r="F134" s="48">
        <f t="shared" si="20"/>
        <v>3552</v>
      </c>
      <c r="G134" s="48">
        <f t="shared" si="22"/>
        <v>38887</v>
      </c>
      <c r="H134" s="49"/>
      <c r="I134" s="30"/>
      <c r="J134" s="27"/>
    </row>
    <row r="135" spans="1:10">
      <c r="A135" s="27">
        <v>25</v>
      </c>
      <c r="B135" s="29">
        <v>41365</v>
      </c>
      <c r="C135" s="46">
        <f t="shared" ref="C135:C146" si="23">B135-B134</f>
        <v>28</v>
      </c>
      <c r="D135" s="48">
        <f t="shared" si="19"/>
        <v>499</v>
      </c>
      <c r="E135" s="48">
        <f t="shared" ref="E135:E146" si="24">F135-D135</f>
        <v>3053</v>
      </c>
      <c r="F135" s="48">
        <f t="shared" si="20"/>
        <v>3552</v>
      </c>
      <c r="G135" s="48">
        <f t="shared" ref="G135:G146" si="25">G134-E135</f>
        <v>35834</v>
      </c>
      <c r="H135" s="49"/>
      <c r="I135" s="30"/>
      <c r="J135" s="27"/>
    </row>
    <row r="136" spans="1:10">
      <c r="A136" s="27">
        <v>26</v>
      </c>
      <c r="B136" s="29">
        <v>41400</v>
      </c>
      <c r="C136" s="46">
        <f t="shared" si="23"/>
        <v>35</v>
      </c>
      <c r="D136" s="48">
        <f t="shared" si="19"/>
        <v>575</v>
      </c>
      <c r="E136" s="48">
        <f t="shared" si="24"/>
        <v>2977</v>
      </c>
      <c r="F136" s="48">
        <f t="shared" si="20"/>
        <v>3552</v>
      </c>
      <c r="G136" s="48">
        <f t="shared" si="25"/>
        <v>32857</v>
      </c>
      <c r="H136" s="49"/>
      <c r="I136" s="30"/>
      <c r="J136" s="27"/>
    </row>
    <row r="137" spans="1:10">
      <c r="A137" s="27">
        <v>27</v>
      </c>
      <c r="B137" s="29">
        <v>41428</v>
      </c>
      <c r="C137" s="46">
        <f t="shared" si="23"/>
        <v>28</v>
      </c>
      <c r="D137" s="48">
        <f t="shared" si="19"/>
        <v>422</v>
      </c>
      <c r="E137" s="48">
        <f t="shared" si="24"/>
        <v>3130</v>
      </c>
      <c r="F137" s="48">
        <f t="shared" si="20"/>
        <v>3552</v>
      </c>
      <c r="G137" s="48">
        <f t="shared" si="25"/>
        <v>29727</v>
      </c>
      <c r="H137" s="49"/>
      <c r="I137" s="30"/>
      <c r="J137" s="27"/>
    </row>
    <row r="138" spans="1:10">
      <c r="A138" s="27">
        <v>28</v>
      </c>
      <c r="B138" s="29">
        <v>41456</v>
      </c>
      <c r="C138" s="46">
        <f t="shared" si="23"/>
        <v>28</v>
      </c>
      <c r="D138" s="48">
        <f t="shared" si="19"/>
        <v>381</v>
      </c>
      <c r="E138" s="48">
        <f t="shared" si="24"/>
        <v>3171</v>
      </c>
      <c r="F138" s="48">
        <f t="shared" si="20"/>
        <v>3552</v>
      </c>
      <c r="G138" s="48">
        <f t="shared" si="25"/>
        <v>26556</v>
      </c>
      <c r="H138" s="49"/>
      <c r="I138" s="30"/>
      <c r="J138" s="27"/>
    </row>
    <row r="139" spans="1:10">
      <c r="A139" s="27">
        <v>29</v>
      </c>
      <c r="B139" s="29">
        <v>41491</v>
      </c>
      <c r="C139" s="46">
        <f t="shared" si="23"/>
        <v>35</v>
      </c>
      <c r="D139" s="48">
        <f t="shared" si="19"/>
        <v>426</v>
      </c>
      <c r="E139" s="48">
        <f t="shared" si="24"/>
        <v>3126</v>
      </c>
      <c r="F139" s="48">
        <f t="shared" si="20"/>
        <v>3552</v>
      </c>
      <c r="G139" s="48">
        <f t="shared" si="25"/>
        <v>23430</v>
      </c>
      <c r="H139" s="49"/>
      <c r="I139" s="30"/>
      <c r="J139" s="27"/>
    </row>
    <row r="140" spans="1:10">
      <c r="A140" s="27">
        <v>30</v>
      </c>
      <c r="B140" s="29">
        <v>41519</v>
      </c>
      <c r="C140" s="46">
        <f t="shared" si="23"/>
        <v>28</v>
      </c>
      <c r="D140" s="48">
        <f t="shared" si="19"/>
        <v>301</v>
      </c>
      <c r="E140" s="48">
        <f t="shared" si="24"/>
        <v>3251</v>
      </c>
      <c r="F140" s="48">
        <f t="shared" si="20"/>
        <v>3552</v>
      </c>
      <c r="G140" s="48">
        <f t="shared" si="25"/>
        <v>20179</v>
      </c>
      <c r="H140" s="49"/>
      <c r="I140" s="30"/>
      <c r="J140" s="27"/>
    </row>
    <row r="141" spans="1:10">
      <c r="A141" s="27">
        <v>31</v>
      </c>
      <c r="B141" s="29">
        <v>41554</v>
      </c>
      <c r="C141" s="46">
        <f t="shared" si="23"/>
        <v>35</v>
      </c>
      <c r="D141" s="48">
        <f t="shared" si="19"/>
        <v>324</v>
      </c>
      <c r="E141" s="48">
        <f t="shared" si="24"/>
        <v>3228</v>
      </c>
      <c r="F141" s="48">
        <f t="shared" si="20"/>
        <v>3552</v>
      </c>
      <c r="G141" s="48">
        <f t="shared" si="25"/>
        <v>16951</v>
      </c>
      <c r="H141" s="49"/>
      <c r="I141" s="30"/>
      <c r="J141" s="27"/>
    </row>
    <row r="142" spans="1:10">
      <c r="A142" s="27">
        <v>32</v>
      </c>
      <c r="B142" s="29">
        <v>41582</v>
      </c>
      <c r="C142" s="46">
        <f t="shared" si="23"/>
        <v>28</v>
      </c>
      <c r="D142" s="48">
        <f t="shared" si="19"/>
        <v>217</v>
      </c>
      <c r="E142" s="48">
        <f t="shared" si="24"/>
        <v>3335</v>
      </c>
      <c r="F142" s="48">
        <f t="shared" si="20"/>
        <v>3552</v>
      </c>
      <c r="G142" s="48">
        <f t="shared" si="25"/>
        <v>13616</v>
      </c>
      <c r="H142" s="49"/>
      <c r="I142" s="30"/>
      <c r="J142" s="27"/>
    </row>
    <row r="143" spans="1:10">
      <c r="A143" s="27">
        <v>33</v>
      </c>
      <c r="B143" s="29">
        <v>41610</v>
      </c>
      <c r="C143" s="46">
        <f t="shared" si="23"/>
        <v>28</v>
      </c>
      <c r="D143" s="48">
        <f t="shared" si="19"/>
        <v>175</v>
      </c>
      <c r="E143" s="48">
        <f t="shared" si="24"/>
        <v>3377</v>
      </c>
      <c r="F143" s="48">
        <f t="shared" si="20"/>
        <v>3552</v>
      </c>
      <c r="G143" s="48">
        <f t="shared" si="25"/>
        <v>10239</v>
      </c>
      <c r="H143" s="49"/>
      <c r="I143" s="30"/>
      <c r="J143" s="27"/>
    </row>
    <row r="144" spans="1:10">
      <c r="A144" s="27">
        <v>34</v>
      </c>
      <c r="B144" s="29">
        <v>41645</v>
      </c>
      <c r="C144" s="46">
        <f t="shared" si="23"/>
        <v>35</v>
      </c>
      <c r="D144" s="48">
        <f t="shared" si="19"/>
        <v>164</v>
      </c>
      <c r="E144" s="48">
        <f t="shared" si="24"/>
        <v>3388</v>
      </c>
      <c r="F144" s="48">
        <f t="shared" si="20"/>
        <v>3552</v>
      </c>
      <c r="G144" s="48">
        <f t="shared" si="25"/>
        <v>6851</v>
      </c>
      <c r="H144" s="49"/>
      <c r="I144" s="30"/>
      <c r="J144" s="27"/>
    </row>
    <row r="145" spans="1:13">
      <c r="A145" s="27">
        <v>35</v>
      </c>
      <c r="B145" s="29">
        <v>41673</v>
      </c>
      <c r="C145" s="46">
        <f t="shared" si="23"/>
        <v>28</v>
      </c>
      <c r="D145" s="48">
        <f t="shared" si="19"/>
        <v>88</v>
      </c>
      <c r="E145" s="48">
        <f t="shared" si="24"/>
        <v>3464</v>
      </c>
      <c r="F145" s="48">
        <f t="shared" si="20"/>
        <v>3552</v>
      </c>
      <c r="G145" s="48">
        <f t="shared" si="25"/>
        <v>3387</v>
      </c>
      <c r="H145" s="49"/>
      <c r="I145" s="30"/>
      <c r="J145" s="27"/>
    </row>
    <row r="146" spans="1:13">
      <c r="A146" s="27">
        <v>36</v>
      </c>
      <c r="B146" s="29">
        <v>41701</v>
      </c>
      <c r="C146" s="46">
        <f t="shared" si="23"/>
        <v>28</v>
      </c>
      <c r="D146" s="48">
        <f t="shared" si="19"/>
        <v>43</v>
      </c>
      <c r="E146" s="48">
        <f t="shared" si="24"/>
        <v>3387</v>
      </c>
      <c r="F146" s="48">
        <v>3430</v>
      </c>
      <c r="G146" s="48">
        <f t="shared" si="25"/>
        <v>0</v>
      </c>
      <c r="H146" s="49">
        <f>F146+G146</f>
        <v>3430</v>
      </c>
      <c r="I146" s="30"/>
      <c r="J146" s="27"/>
    </row>
    <row r="147" spans="1:13">
      <c r="A147" s="27"/>
      <c r="B147" s="29"/>
      <c r="C147" s="46"/>
      <c r="D147" s="47"/>
      <c r="E147" s="48"/>
      <c r="F147" s="48"/>
      <c r="G147" s="48"/>
      <c r="H147" s="49"/>
      <c r="I147" s="30"/>
      <c r="J147" s="27"/>
    </row>
    <row r="148" spans="1:13">
      <c r="A148" s="27"/>
      <c r="B148" s="32" t="s">
        <v>5</v>
      </c>
      <c r="C148" s="57">
        <f>SUM(C111:C146)</f>
        <v>1092</v>
      </c>
      <c r="D148" s="57">
        <f>SUM(D111:D146)</f>
        <v>27750</v>
      </c>
      <c r="E148" s="58">
        <f>SUM(E111:E146)</f>
        <v>100000</v>
      </c>
      <c r="F148" s="57">
        <f>SUM(F111:F146)</f>
        <v>127750</v>
      </c>
      <c r="G148" s="48"/>
      <c r="H148" s="33"/>
      <c r="I148" s="27"/>
      <c r="J148" s="27"/>
    </row>
    <row r="149" spans="1:13" s="2" customFormat="1">
      <c r="A149" s="32"/>
      <c r="B149" s="32"/>
      <c r="C149" s="50"/>
      <c r="D149" s="53"/>
      <c r="E149" s="53"/>
      <c r="F149" s="53"/>
      <c r="G149" s="53"/>
      <c r="H149" s="53"/>
      <c r="I149" s="27"/>
      <c r="J149" s="35"/>
    </row>
    <row r="153" spans="1:13">
      <c r="B153" s="2" t="s">
        <v>34</v>
      </c>
      <c r="D153" s="1"/>
    </row>
    <row r="154" spans="1:13">
      <c r="B154" s="2"/>
      <c r="D154" s="1"/>
      <c r="H154" s="25"/>
    </row>
    <row r="155" spans="1:13">
      <c r="B155" t="s">
        <v>6</v>
      </c>
      <c r="C155" s="4">
        <f>L15</f>
        <v>100000</v>
      </c>
      <c r="D155" s="1"/>
    </row>
    <row r="156" spans="1:13">
      <c r="B156" t="s">
        <v>16</v>
      </c>
      <c r="C156" s="4">
        <f>L16</f>
        <v>36</v>
      </c>
      <c r="D156" s="1"/>
    </row>
    <row r="157" spans="1:13">
      <c r="B157" s="24" t="s">
        <v>12</v>
      </c>
      <c r="C157" s="40">
        <v>40728</v>
      </c>
      <c r="D157" s="1"/>
    </row>
    <row r="158" spans="1:13">
      <c r="C158" s="21"/>
      <c r="D158" s="1"/>
    </row>
    <row r="159" spans="1:13">
      <c r="C159" s="3"/>
      <c r="D159" s="1"/>
      <c r="G159" t="s">
        <v>14</v>
      </c>
    </row>
    <row r="160" spans="1:13">
      <c r="A160" s="32" t="s">
        <v>13</v>
      </c>
      <c r="B160" s="32" t="s">
        <v>9</v>
      </c>
      <c r="C160" s="41" t="s">
        <v>11</v>
      </c>
      <c r="D160" s="54" t="s">
        <v>2</v>
      </c>
      <c r="E160" s="41" t="s">
        <v>3</v>
      </c>
      <c r="F160" s="41" t="s">
        <v>22</v>
      </c>
      <c r="G160" s="42">
        <f>L15</f>
        <v>100000</v>
      </c>
      <c r="H160" s="55" t="s">
        <v>26</v>
      </c>
      <c r="I160" s="44"/>
      <c r="J160" s="45"/>
      <c r="K160" s="36" t="s">
        <v>17</v>
      </c>
      <c r="L160" s="26">
        <f>L163/100/12</f>
        <v>1.3837500000000001E-2</v>
      </c>
      <c r="M160" t="s">
        <v>23</v>
      </c>
    </row>
    <row r="161" spans="1:14">
      <c r="A161" s="27">
        <v>1</v>
      </c>
      <c r="B161" s="29">
        <v>40756</v>
      </c>
      <c r="C161" s="46">
        <f>B161-C157</f>
        <v>28</v>
      </c>
      <c r="D161" s="48">
        <f>ROUND($L$164*G160*C161,0)</f>
        <v>1274</v>
      </c>
      <c r="E161" s="48">
        <f>F161-D161</f>
        <v>2272</v>
      </c>
      <c r="F161" s="48">
        <f>$N$162</f>
        <v>3546</v>
      </c>
      <c r="G161" s="48">
        <f>G160-E161</f>
        <v>97728</v>
      </c>
      <c r="H161" s="48"/>
      <c r="I161" s="48"/>
      <c r="J161" s="35"/>
      <c r="K161" s="37" t="s">
        <v>18</v>
      </c>
      <c r="L161" s="26">
        <v>100000</v>
      </c>
    </row>
    <row r="162" spans="1:14">
      <c r="A162" s="27">
        <v>2</v>
      </c>
      <c r="B162" s="29">
        <v>40791</v>
      </c>
      <c r="C162" s="46">
        <f t="shared" ref="C162:C185" si="26">B162-B161</f>
        <v>35</v>
      </c>
      <c r="D162" s="48">
        <f t="shared" ref="D162:D196" si="27">ROUND($L$164*G161*C162,0)</f>
        <v>1556</v>
      </c>
      <c r="E162" s="48">
        <f>F162-D162</f>
        <v>1990</v>
      </c>
      <c r="F162" s="48">
        <f t="shared" ref="F162:F195" si="28">$N$162</f>
        <v>3546</v>
      </c>
      <c r="G162" s="48">
        <f>G161-E162</f>
        <v>95738</v>
      </c>
      <c r="H162" s="48"/>
      <c r="I162" s="48"/>
      <c r="J162" s="35"/>
      <c r="K162" s="37" t="s">
        <v>19</v>
      </c>
      <c r="L162" s="26">
        <v>36</v>
      </c>
      <c r="M162" t="s">
        <v>24</v>
      </c>
      <c r="N162" s="24">
        <f>ROUND((L160*L161)/(1-(1+L160)^-L162),0)</f>
        <v>3546</v>
      </c>
    </row>
    <row r="163" spans="1:14">
      <c r="A163" s="27">
        <v>3</v>
      </c>
      <c r="B163" s="29">
        <v>40819</v>
      </c>
      <c r="C163" s="46">
        <f t="shared" si="26"/>
        <v>28</v>
      </c>
      <c r="D163" s="48">
        <f t="shared" si="27"/>
        <v>1220</v>
      </c>
      <c r="E163" s="48">
        <f t="shared" ref="E163:E185" si="29">F163-D163</f>
        <v>2326</v>
      </c>
      <c r="F163" s="48">
        <f t="shared" si="28"/>
        <v>3546</v>
      </c>
      <c r="G163" s="48">
        <f t="shared" ref="G163:G196" si="30">G162-E163</f>
        <v>93412</v>
      </c>
      <c r="H163" s="48"/>
      <c r="I163" s="48"/>
      <c r="J163" s="35"/>
      <c r="K163" s="37" t="s">
        <v>20</v>
      </c>
      <c r="L163" s="26">
        <v>16.605</v>
      </c>
    </row>
    <row r="164" spans="1:14">
      <c r="A164" s="27">
        <v>4</v>
      </c>
      <c r="B164" s="29">
        <v>40854</v>
      </c>
      <c r="C164" s="46">
        <f t="shared" si="26"/>
        <v>35</v>
      </c>
      <c r="D164" s="48">
        <f t="shared" si="27"/>
        <v>1487</v>
      </c>
      <c r="E164" s="48">
        <f t="shared" si="29"/>
        <v>2059</v>
      </c>
      <c r="F164" s="48">
        <f t="shared" si="28"/>
        <v>3546</v>
      </c>
      <c r="G164" s="48">
        <f t="shared" si="30"/>
        <v>91353</v>
      </c>
      <c r="H164" s="48"/>
      <c r="I164" s="48"/>
      <c r="J164" s="35"/>
      <c r="K164" s="37" t="s">
        <v>25</v>
      </c>
      <c r="L164" s="26">
        <f>L163/36500</f>
        <v>4.5493150684931507E-4</v>
      </c>
    </row>
    <row r="165" spans="1:14">
      <c r="A165" s="27">
        <v>5</v>
      </c>
      <c r="B165" s="29">
        <v>40882</v>
      </c>
      <c r="C165" s="46">
        <f t="shared" si="26"/>
        <v>28</v>
      </c>
      <c r="D165" s="48">
        <f t="shared" si="27"/>
        <v>1164</v>
      </c>
      <c r="E165" s="48">
        <f t="shared" si="29"/>
        <v>2382</v>
      </c>
      <c r="F165" s="48">
        <f t="shared" si="28"/>
        <v>3546</v>
      </c>
      <c r="G165" s="48">
        <f t="shared" si="30"/>
        <v>88971</v>
      </c>
      <c r="H165" s="48"/>
      <c r="I165" s="48"/>
      <c r="J165" s="35"/>
    </row>
    <row r="166" spans="1:14">
      <c r="A166" s="27">
        <v>6</v>
      </c>
      <c r="B166" s="29">
        <v>40910</v>
      </c>
      <c r="C166" s="46">
        <f t="shared" si="26"/>
        <v>28</v>
      </c>
      <c r="D166" s="48">
        <f t="shared" si="27"/>
        <v>1133</v>
      </c>
      <c r="E166" s="48">
        <f t="shared" si="29"/>
        <v>2413</v>
      </c>
      <c r="F166" s="48">
        <f t="shared" si="28"/>
        <v>3546</v>
      </c>
      <c r="G166" s="48">
        <f t="shared" si="30"/>
        <v>86558</v>
      </c>
      <c r="H166" s="48"/>
      <c r="I166" s="48"/>
      <c r="J166" s="35"/>
    </row>
    <row r="167" spans="1:14">
      <c r="A167" s="27">
        <v>7</v>
      </c>
      <c r="B167" s="29">
        <v>40945</v>
      </c>
      <c r="C167" s="46">
        <f t="shared" si="26"/>
        <v>35</v>
      </c>
      <c r="D167" s="48">
        <f t="shared" si="27"/>
        <v>1378</v>
      </c>
      <c r="E167" s="48">
        <f t="shared" si="29"/>
        <v>2168</v>
      </c>
      <c r="F167" s="48">
        <f t="shared" si="28"/>
        <v>3546</v>
      </c>
      <c r="G167" s="48">
        <f t="shared" si="30"/>
        <v>84390</v>
      </c>
      <c r="H167" s="48"/>
      <c r="I167" s="48"/>
      <c r="J167" s="35"/>
    </row>
    <row r="168" spans="1:14">
      <c r="A168" s="27">
        <v>8</v>
      </c>
      <c r="B168" s="29">
        <v>40973</v>
      </c>
      <c r="C168" s="46">
        <f t="shared" si="26"/>
        <v>28</v>
      </c>
      <c r="D168" s="48">
        <f t="shared" si="27"/>
        <v>1075</v>
      </c>
      <c r="E168" s="48">
        <f t="shared" si="29"/>
        <v>2471</v>
      </c>
      <c r="F168" s="48">
        <f t="shared" si="28"/>
        <v>3546</v>
      </c>
      <c r="G168" s="48">
        <f t="shared" si="30"/>
        <v>81919</v>
      </c>
      <c r="H168" s="48"/>
      <c r="I168" s="48"/>
      <c r="J168" s="35"/>
    </row>
    <row r="169" spans="1:14">
      <c r="A169" s="27">
        <v>9</v>
      </c>
      <c r="B169" s="29">
        <v>41001</v>
      </c>
      <c r="C169" s="46">
        <f t="shared" si="26"/>
        <v>28</v>
      </c>
      <c r="D169" s="48">
        <f t="shared" si="27"/>
        <v>1043</v>
      </c>
      <c r="E169" s="48">
        <f t="shared" si="29"/>
        <v>2503</v>
      </c>
      <c r="F169" s="48">
        <f t="shared" si="28"/>
        <v>3546</v>
      </c>
      <c r="G169" s="48">
        <f t="shared" si="30"/>
        <v>79416</v>
      </c>
      <c r="H169" s="48"/>
      <c r="I169" s="48"/>
      <c r="J169" s="35"/>
    </row>
    <row r="170" spans="1:14">
      <c r="A170" s="27">
        <v>10</v>
      </c>
      <c r="B170" s="29">
        <v>41036</v>
      </c>
      <c r="C170" s="46">
        <f t="shared" si="26"/>
        <v>35</v>
      </c>
      <c r="D170" s="48">
        <f t="shared" si="27"/>
        <v>1265</v>
      </c>
      <c r="E170" s="48">
        <f t="shared" si="29"/>
        <v>2281</v>
      </c>
      <c r="F170" s="48">
        <f t="shared" si="28"/>
        <v>3546</v>
      </c>
      <c r="G170" s="48">
        <f t="shared" si="30"/>
        <v>77135</v>
      </c>
      <c r="H170" s="48"/>
      <c r="I170" s="48"/>
      <c r="J170" s="35"/>
    </row>
    <row r="171" spans="1:14">
      <c r="A171" s="27">
        <v>11</v>
      </c>
      <c r="B171" s="29">
        <v>41064</v>
      </c>
      <c r="C171" s="46">
        <f t="shared" si="26"/>
        <v>28</v>
      </c>
      <c r="D171" s="48">
        <f t="shared" si="27"/>
        <v>983</v>
      </c>
      <c r="E171" s="48">
        <f t="shared" si="29"/>
        <v>2563</v>
      </c>
      <c r="F171" s="48">
        <f t="shared" si="28"/>
        <v>3546</v>
      </c>
      <c r="G171" s="48">
        <f t="shared" si="30"/>
        <v>74572</v>
      </c>
      <c r="H171" s="48"/>
      <c r="I171" s="48"/>
      <c r="J171" s="35"/>
    </row>
    <row r="172" spans="1:14">
      <c r="A172" s="27">
        <v>12</v>
      </c>
      <c r="B172" s="29">
        <v>41092</v>
      </c>
      <c r="C172" s="46">
        <f t="shared" si="26"/>
        <v>28</v>
      </c>
      <c r="D172" s="48">
        <f t="shared" si="27"/>
        <v>950</v>
      </c>
      <c r="E172" s="48">
        <f t="shared" si="29"/>
        <v>2596</v>
      </c>
      <c r="F172" s="48">
        <f t="shared" si="28"/>
        <v>3546</v>
      </c>
      <c r="G172" s="48">
        <f t="shared" si="30"/>
        <v>71976</v>
      </c>
      <c r="H172" s="48"/>
      <c r="I172" s="48"/>
      <c r="J172" s="35"/>
    </row>
    <row r="173" spans="1:14">
      <c r="A173" s="27">
        <v>13</v>
      </c>
      <c r="B173" s="29">
        <v>41127</v>
      </c>
      <c r="C173" s="46">
        <f t="shared" si="26"/>
        <v>35</v>
      </c>
      <c r="D173" s="48">
        <f t="shared" si="27"/>
        <v>1146</v>
      </c>
      <c r="E173" s="48">
        <f t="shared" si="29"/>
        <v>2400</v>
      </c>
      <c r="F173" s="48">
        <f t="shared" si="28"/>
        <v>3546</v>
      </c>
      <c r="G173" s="48">
        <f t="shared" si="30"/>
        <v>69576</v>
      </c>
      <c r="H173" s="48"/>
      <c r="I173" s="48"/>
      <c r="J173" s="35"/>
    </row>
    <row r="174" spans="1:14">
      <c r="A174" s="27">
        <v>14</v>
      </c>
      <c r="B174" s="29">
        <v>41155</v>
      </c>
      <c r="C174" s="46">
        <f t="shared" si="26"/>
        <v>28</v>
      </c>
      <c r="D174" s="48">
        <f t="shared" si="27"/>
        <v>886</v>
      </c>
      <c r="E174" s="48">
        <f t="shared" si="29"/>
        <v>2660</v>
      </c>
      <c r="F174" s="48">
        <f t="shared" si="28"/>
        <v>3546</v>
      </c>
      <c r="G174" s="48">
        <f t="shared" si="30"/>
        <v>66916</v>
      </c>
      <c r="H174" s="48"/>
      <c r="I174" s="48"/>
      <c r="J174" s="35"/>
    </row>
    <row r="175" spans="1:14">
      <c r="A175" s="27">
        <v>15</v>
      </c>
      <c r="B175" s="29">
        <v>41183</v>
      </c>
      <c r="C175" s="46">
        <f t="shared" si="26"/>
        <v>28</v>
      </c>
      <c r="D175" s="48">
        <f t="shared" si="27"/>
        <v>852</v>
      </c>
      <c r="E175" s="48">
        <f t="shared" si="29"/>
        <v>2694</v>
      </c>
      <c r="F175" s="48">
        <f t="shared" si="28"/>
        <v>3546</v>
      </c>
      <c r="G175" s="48">
        <f t="shared" si="30"/>
        <v>64222</v>
      </c>
      <c r="H175" s="48"/>
      <c r="I175" s="48"/>
      <c r="J175" s="35"/>
    </row>
    <row r="176" spans="1:14">
      <c r="A176" s="27">
        <v>16</v>
      </c>
      <c r="B176" s="29">
        <v>41218</v>
      </c>
      <c r="C176" s="46">
        <f t="shared" si="26"/>
        <v>35</v>
      </c>
      <c r="D176" s="48">
        <f t="shared" si="27"/>
        <v>1023</v>
      </c>
      <c r="E176" s="48">
        <f t="shared" si="29"/>
        <v>2523</v>
      </c>
      <c r="F176" s="48">
        <f t="shared" si="28"/>
        <v>3546</v>
      </c>
      <c r="G176" s="48">
        <f t="shared" si="30"/>
        <v>61699</v>
      </c>
      <c r="H176" s="49"/>
      <c r="I176" s="30"/>
      <c r="J176" s="27"/>
    </row>
    <row r="177" spans="1:10">
      <c r="A177" s="27">
        <v>17</v>
      </c>
      <c r="B177" s="29">
        <v>41246</v>
      </c>
      <c r="C177" s="46">
        <f t="shared" si="26"/>
        <v>28</v>
      </c>
      <c r="D177" s="48">
        <f t="shared" si="27"/>
        <v>786</v>
      </c>
      <c r="E177" s="48">
        <f t="shared" si="29"/>
        <v>2760</v>
      </c>
      <c r="F177" s="48">
        <f t="shared" si="28"/>
        <v>3546</v>
      </c>
      <c r="G177" s="48">
        <f t="shared" si="30"/>
        <v>58939</v>
      </c>
      <c r="H177" s="49"/>
      <c r="I177" s="30"/>
      <c r="J177" s="27"/>
    </row>
    <row r="178" spans="1:10">
      <c r="A178" s="27">
        <v>18</v>
      </c>
      <c r="B178" s="29">
        <v>41281</v>
      </c>
      <c r="C178" s="46">
        <f t="shared" si="26"/>
        <v>35</v>
      </c>
      <c r="D178" s="48">
        <f t="shared" si="27"/>
        <v>938</v>
      </c>
      <c r="E178" s="48">
        <f t="shared" si="29"/>
        <v>2608</v>
      </c>
      <c r="F178" s="48">
        <f t="shared" si="28"/>
        <v>3546</v>
      </c>
      <c r="G178" s="48">
        <f t="shared" si="30"/>
        <v>56331</v>
      </c>
      <c r="H178" s="49"/>
      <c r="I178" s="30"/>
      <c r="J178" s="27"/>
    </row>
    <row r="179" spans="1:10">
      <c r="A179" s="27">
        <v>19</v>
      </c>
      <c r="B179" s="29">
        <v>41309</v>
      </c>
      <c r="C179" s="46">
        <f>B179-B178</f>
        <v>28</v>
      </c>
      <c r="D179" s="48">
        <f t="shared" si="27"/>
        <v>718</v>
      </c>
      <c r="E179" s="48">
        <f t="shared" si="29"/>
        <v>2828</v>
      </c>
      <c r="F179" s="48">
        <f t="shared" si="28"/>
        <v>3546</v>
      </c>
      <c r="G179" s="48">
        <f t="shared" si="30"/>
        <v>53503</v>
      </c>
      <c r="H179" s="49"/>
      <c r="I179" s="30"/>
      <c r="J179" s="27"/>
    </row>
    <row r="180" spans="1:10">
      <c r="A180" s="27">
        <v>20</v>
      </c>
      <c r="B180" s="29">
        <v>41337</v>
      </c>
      <c r="C180" s="46">
        <f t="shared" si="26"/>
        <v>28</v>
      </c>
      <c r="D180" s="48">
        <f t="shared" si="27"/>
        <v>682</v>
      </c>
      <c r="E180" s="48">
        <f t="shared" si="29"/>
        <v>2864</v>
      </c>
      <c r="F180" s="48">
        <f t="shared" si="28"/>
        <v>3546</v>
      </c>
      <c r="G180" s="48">
        <f t="shared" si="30"/>
        <v>50639</v>
      </c>
      <c r="H180" s="49"/>
      <c r="I180" s="30"/>
      <c r="J180" s="27"/>
    </row>
    <row r="181" spans="1:10">
      <c r="A181" s="27">
        <v>21</v>
      </c>
      <c r="B181" s="29">
        <v>41365</v>
      </c>
      <c r="C181" s="46">
        <f t="shared" si="26"/>
        <v>28</v>
      </c>
      <c r="D181" s="48">
        <f t="shared" si="27"/>
        <v>645</v>
      </c>
      <c r="E181" s="48">
        <f t="shared" si="29"/>
        <v>2901</v>
      </c>
      <c r="F181" s="48">
        <f t="shared" si="28"/>
        <v>3546</v>
      </c>
      <c r="G181" s="48">
        <f t="shared" si="30"/>
        <v>47738</v>
      </c>
      <c r="H181" s="49"/>
      <c r="I181" s="30"/>
      <c r="J181" s="27"/>
    </row>
    <row r="182" spans="1:10">
      <c r="A182" s="27">
        <v>22</v>
      </c>
      <c r="B182" s="29">
        <v>41400</v>
      </c>
      <c r="C182" s="46">
        <f t="shared" si="26"/>
        <v>35</v>
      </c>
      <c r="D182" s="48">
        <f t="shared" si="27"/>
        <v>760</v>
      </c>
      <c r="E182" s="48">
        <f t="shared" si="29"/>
        <v>2786</v>
      </c>
      <c r="F182" s="48">
        <f t="shared" si="28"/>
        <v>3546</v>
      </c>
      <c r="G182" s="48">
        <f t="shared" si="30"/>
        <v>44952</v>
      </c>
      <c r="H182" s="49"/>
      <c r="I182" s="30"/>
      <c r="J182" s="27"/>
    </row>
    <row r="183" spans="1:10">
      <c r="A183" s="27">
        <v>23</v>
      </c>
      <c r="B183" s="29">
        <v>41428</v>
      </c>
      <c r="C183" s="46">
        <f t="shared" si="26"/>
        <v>28</v>
      </c>
      <c r="D183" s="48">
        <f t="shared" si="27"/>
        <v>573</v>
      </c>
      <c r="E183" s="48">
        <f t="shared" si="29"/>
        <v>2973</v>
      </c>
      <c r="F183" s="48">
        <f t="shared" si="28"/>
        <v>3546</v>
      </c>
      <c r="G183" s="48">
        <f t="shared" si="30"/>
        <v>41979</v>
      </c>
      <c r="H183" s="49"/>
      <c r="I183" s="30"/>
      <c r="J183" s="27"/>
    </row>
    <row r="184" spans="1:10">
      <c r="A184" s="27">
        <v>24</v>
      </c>
      <c r="B184" s="29">
        <v>41456</v>
      </c>
      <c r="C184" s="46">
        <f t="shared" si="26"/>
        <v>28</v>
      </c>
      <c r="D184" s="48">
        <f t="shared" si="27"/>
        <v>535</v>
      </c>
      <c r="E184" s="48">
        <f t="shared" si="29"/>
        <v>3011</v>
      </c>
      <c r="F184" s="48">
        <f t="shared" si="28"/>
        <v>3546</v>
      </c>
      <c r="G184" s="48">
        <f t="shared" si="30"/>
        <v>38968</v>
      </c>
      <c r="H184" s="49"/>
      <c r="I184" s="30"/>
      <c r="J184" s="27"/>
    </row>
    <row r="185" spans="1:10">
      <c r="A185" s="27">
        <v>25</v>
      </c>
      <c r="B185" s="29">
        <v>41491</v>
      </c>
      <c r="C185" s="46">
        <f t="shared" si="26"/>
        <v>35</v>
      </c>
      <c r="D185" s="48">
        <f t="shared" si="27"/>
        <v>620</v>
      </c>
      <c r="E185" s="48">
        <f t="shared" si="29"/>
        <v>2926</v>
      </c>
      <c r="F185" s="48">
        <f t="shared" si="28"/>
        <v>3546</v>
      </c>
      <c r="G185" s="48">
        <f t="shared" si="30"/>
        <v>36042</v>
      </c>
      <c r="H185" s="49"/>
      <c r="I185" s="30"/>
      <c r="J185" s="27"/>
    </row>
    <row r="186" spans="1:10">
      <c r="A186" s="27">
        <v>26</v>
      </c>
      <c r="B186" s="29">
        <v>41519</v>
      </c>
      <c r="C186" s="46">
        <f t="shared" ref="C186:C196" si="31">B186-B185</f>
        <v>28</v>
      </c>
      <c r="D186" s="48">
        <f t="shared" si="27"/>
        <v>459</v>
      </c>
      <c r="E186" s="48">
        <f t="shared" ref="E186:E196" si="32">F186-D186</f>
        <v>3087</v>
      </c>
      <c r="F186" s="48">
        <f t="shared" si="28"/>
        <v>3546</v>
      </c>
      <c r="G186" s="48">
        <f t="shared" si="30"/>
        <v>32955</v>
      </c>
      <c r="H186" s="49"/>
      <c r="I186" s="30"/>
      <c r="J186" s="27"/>
    </row>
    <row r="187" spans="1:10">
      <c r="A187" s="27">
        <v>27</v>
      </c>
      <c r="B187" s="29">
        <v>41554</v>
      </c>
      <c r="C187" s="46">
        <f t="shared" si="31"/>
        <v>35</v>
      </c>
      <c r="D187" s="48">
        <f t="shared" si="27"/>
        <v>525</v>
      </c>
      <c r="E187" s="48">
        <f t="shared" si="32"/>
        <v>3021</v>
      </c>
      <c r="F187" s="48">
        <f t="shared" si="28"/>
        <v>3546</v>
      </c>
      <c r="G187" s="48">
        <f t="shared" si="30"/>
        <v>29934</v>
      </c>
      <c r="H187" s="49"/>
      <c r="I187" s="30"/>
      <c r="J187" s="27"/>
    </row>
    <row r="188" spans="1:10">
      <c r="A188" s="27">
        <v>28</v>
      </c>
      <c r="B188" s="29">
        <v>41582</v>
      </c>
      <c r="C188" s="46">
        <f t="shared" si="31"/>
        <v>28</v>
      </c>
      <c r="D188" s="48">
        <f t="shared" si="27"/>
        <v>381</v>
      </c>
      <c r="E188" s="48">
        <f t="shared" si="32"/>
        <v>3165</v>
      </c>
      <c r="F188" s="48">
        <f t="shared" si="28"/>
        <v>3546</v>
      </c>
      <c r="G188" s="48">
        <f t="shared" si="30"/>
        <v>26769</v>
      </c>
      <c r="H188" s="49"/>
      <c r="I188" s="30"/>
      <c r="J188" s="27"/>
    </row>
    <row r="189" spans="1:10">
      <c r="A189" s="27">
        <v>29</v>
      </c>
      <c r="B189" s="29">
        <v>41610</v>
      </c>
      <c r="C189" s="46">
        <f t="shared" si="31"/>
        <v>28</v>
      </c>
      <c r="D189" s="48">
        <f t="shared" si="27"/>
        <v>341</v>
      </c>
      <c r="E189" s="48">
        <f t="shared" si="32"/>
        <v>3205</v>
      </c>
      <c r="F189" s="48">
        <f t="shared" si="28"/>
        <v>3546</v>
      </c>
      <c r="G189" s="48">
        <f t="shared" si="30"/>
        <v>23564</v>
      </c>
      <c r="H189" s="49"/>
      <c r="I189" s="30"/>
      <c r="J189" s="27"/>
    </row>
    <row r="190" spans="1:10">
      <c r="A190" s="27">
        <v>30</v>
      </c>
      <c r="B190" s="29">
        <v>41645</v>
      </c>
      <c r="C190" s="46">
        <f t="shared" si="31"/>
        <v>35</v>
      </c>
      <c r="D190" s="48">
        <f t="shared" si="27"/>
        <v>375</v>
      </c>
      <c r="E190" s="48">
        <f t="shared" si="32"/>
        <v>3171</v>
      </c>
      <c r="F190" s="48">
        <f t="shared" si="28"/>
        <v>3546</v>
      </c>
      <c r="G190" s="48">
        <f t="shared" si="30"/>
        <v>20393</v>
      </c>
      <c r="H190" s="49"/>
      <c r="I190" s="30"/>
      <c r="J190" s="27"/>
    </row>
    <row r="191" spans="1:10">
      <c r="A191" s="27">
        <v>31</v>
      </c>
      <c r="B191" s="29">
        <v>41673</v>
      </c>
      <c r="C191" s="46">
        <f t="shared" si="31"/>
        <v>28</v>
      </c>
      <c r="D191" s="48">
        <f t="shared" si="27"/>
        <v>260</v>
      </c>
      <c r="E191" s="48">
        <f t="shared" si="32"/>
        <v>3286</v>
      </c>
      <c r="F191" s="48">
        <f t="shared" si="28"/>
        <v>3546</v>
      </c>
      <c r="G191" s="48">
        <f t="shared" si="30"/>
        <v>17107</v>
      </c>
      <c r="H191" s="49"/>
      <c r="I191" s="30"/>
      <c r="J191" s="27"/>
    </row>
    <row r="192" spans="1:10">
      <c r="A192" s="27">
        <v>32</v>
      </c>
      <c r="B192" s="29">
        <v>41701</v>
      </c>
      <c r="C192" s="46">
        <f t="shared" si="31"/>
        <v>28</v>
      </c>
      <c r="D192" s="48">
        <f t="shared" si="27"/>
        <v>218</v>
      </c>
      <c r="E192" s="48">
        <f t="shared" si="32"/>
        <v>3328</v>
      </c>
      <c r="F192" s="48">
        <f t="shared" si="28"/>
        <v>3546</v>
      </c>
      <c r="G192" s="48">
        <f t="shared" si="30"/>
        <v>13779</v>
      </c>
      <c r="H192" s="49"/>
      <c r="I192" s="30"/>
      <c r="J192" s="27"/>
    </row>
    <row r="193" spans="1:10">
      <c r="A193" s="27">
        <v>33</v>
      </c>
      <c r="B193" s="29">
        <v>41736</v>
      </c>
      <c r="C193" s="46">
        <f t="shared" si="31"/>
        <v>35</v>
      </c>
      <c r="D193" s="48">
        <f t="shared" si="27"/>
        <v>219</v>
      </c>
      <c r="E193" s="48">
        <f t="shared" si="32"/>
        <v>3327</v>
      </c>
      <c r="F193" s="48">
        <f t="shared" si="28"/>
        <v>3546</v>
      </c>
      <c r="G193" s="48">
        <f t="shared" si="30"/>
        <v>10452</v>
      </c>
      <c r="H193" s="49"/>
      <c r="I193" s="30"/>
      <c r="J193" s="27"/>
    </row>
    <row r="194" spans="1:10">
      <c r="A194" s="27">
        <v>34</v>
      </c>
      <c r="B194" s="29">
        <v>41764</v>
      </c>
      <c r="C194" s="46">
        <f t="shared" si="31"/>
        <v>28</v>
      </c>
      <c r="D194" s="48">
        <f t="shared" si="27"/>
        <v>133</v>
      </c>
      <c r="E194" s="48">
        <f t="shared" si="32"/>
        <v>3413</v>
      </c>
      <c r="F194" s="48">
        <f t="shared" si="28"/>
        <v>3546</v>
      </c>
      <c r="G194" s="48">
        <f t="shared" si="30"/>
        <v>7039</v>
      </c>
      <c r="H194" s="49"/>
      <c r="I194" s="30"/>
      <c r="J194" s="27"/>
    </row>
    <row r="195" spans="1:10">
      <c r="A195" s="27">
        <v>35</v>
      </c>
      <c r="B195" s="29">
        <v>41792</v>
      </c>
      <c r="C195" s="46">
        <f t="shared" si="31"/>
        <v>28</v>
      </c>
      <c r="D195" s="48">
        <f t="shared" si="27"/>
        <v>90</v>
      </c>
      <c r="E195" s="48">
        <f t="shared" si="32"/>
        <v>3456</v>
      </c>
      <c r="F195" s="48">
        <f t="shared" si="28"/>
        <v>3546</v>
      </c>
      <c r="G195" s="48">
        <f t="shared" si="30"/>
        <v>3583</v>
      </c>
      <c r="H195" s="49"/>
      <c r="I195" s="30"/>
      <c r="J195" s="27"/>
    </row>
    <row r="196" spans="1:10">
      <c r="A196" s="27">
        <v>36</v>
      </c>
      <c r="B196" s="29">
        <v>41827</v>
      </c>
      <c r="C196" s="46">
        <f t="shared" si="31"/>
        <v>35</v>
      </c>
      <c r="D196" s="48">
        <f t="shared" si="27"/>
        <v>57</v>
      </c>
      <c r="E196" s="48">
        <f t="shared" si="32"/>
        <v>3583</v>
      </c>
      <c r="F196" s="48">
        <v>3640</v>
      </c>
      <c r="G196" s="48">
        <f t="shared" si="30"/>
        <v>0</v>
      </c>
      <c r="H196" s="49">
        <f>F196+G196</f>
        <v>3640</v>
      </c>
      <c r="I196" s="30"/>
      <c r="J196" s="27"/>
    </row>
    <row r="197" spans="1:10">
      <c r="A197" s="27"/>
      <c r="B197" s="29"/>
      <c r="C197" s="46"/>
      <c r="D197" s="47"/>
      <c r="E197" s="48"/>
      <c r="F197" s="48"/>
      <c r="G197" s="48"/>
      <c r="H197" s="49"/>
      <c r="I197" s="30"/>
      <c r="J197" s="27"/>
    </row>
    <row r="198" spans="1:10">
      <c r="A198" s="27"/>
      <c r="B198" s="32" t="s">
        <v>5</v>
      </c>
      <c r="C198" s="57">
        <f>SUM(C161:C196)</f>
        <v>1099</v>
      </c>
      <c r="D198" s="57">
        <f>SUM(D161:D196)</f>
        <v>27750</v>
      </c>
      <c r="E198" s="58">
        <f>SUM(E161:E196)</f>
        <v>100000</v>
      </c>
      <c r="F198" s="57">
        <f>SUM(F161:F196)</f>
        <v>127750</v>
      </c>
      <c r="G198" s="48"/>
      <c r="H198" s="33"/>
      <c r="I198" s="27"/>
      <c r="J198" s="27"/>
    </row>
    <row r="199" spans="1:10">
      <c r="A199" s="27"/>
      <c r="B199" s="32"/>
      <c r="C199" s="50"/>
      <c r="D199" s="53"/>
      <c r="E199" s="53"/>
      <c r="F199" s="53"/>
      <c r="G199" s="48"/>
      <c r="H199" s="48"/>
      <c r="I199" s="27"/>
      <c r="J199" s="35"/>
    </row>
    <row r="201" spans="1:10">
      <c r="B201" s="22"/>
      <c r="D201" s="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O255"/>
  <sheetViews>
    <sheetView workbookViewId="0">
      <pane ySplit="8" topLeftCell="A175" activePane="bottomLeft" state="frozen"/>
      <selection pane="bottomLeft" activeCell="C191" sqref="C191"/>
    </sheetView>
  </sheetViews>
  <sheetFormatPr defaultRowHeight="15"/>
  <cols>
    <col min="2" max="2" width="15.7109375" bestFit="1" customWidth="1"/>
    <col min="3" max="3" width="14.42578125" customWidth="1"/>
    <col min="4" max="4" width="16" bestFit="1" customWidth="1"/>
    <col min="5" max="5" width="16.7109375" bestFit="1" customWidth="1"/>
    <col min="6" max="6" width="10.5703125" bestFit="1" customWidth="1"/>
    <col min="7" max="7" width="12.5703125" customWidth="1"/>
    <col min="8" max="8" width="16" bestFit="1" customWidth="1"/>
    <col min="9" max="9" width="14.85546875" bestFit="1" customWidth="1"/>
    <col min="10" max="10" width="14.85546875" customWidth="1"/>
    <col min="12" max="12" width="15.5703125" bestFit="1" customWidth="1"/>
    <col min="14" max="14" width="15.5703125" bestFit="1" customWidth="1"/>
  </cols>
  <sheetData>
    <row r="1" spans="1:10">
      <c r="B1" s="2"/>
      <c r="D1" s="34"/>
      <c r="E1" s="34"/>
      <c r="F1" s="34"/>
      <c r="G1" s="34" t="s">
        <v>37</v>
      </c>
      <c r="H1" t="s">
        <v>15</v>
      </c>
    </row>
    <row r="2" spans="1:10">
      <c r="A2" t="s">
        <v>38</v>
      </c>
      <c r="B2" s="4">
        <v>200000</v>
      </c>
      <c r="D2" s="34"/>
      <c r="E2" s="34"/>
      <c r="F2" s="34"/>
      <c r="G2" s="34"/>
    </row>
    <row r="3" spans="1:10">
      <c r="B3" s="32" t="s">
        <v>39</v>
      </c>
      <c r="C3" s="33" t="s">
        <v>29</v>
      </c>
      <c r="D3" s="76" t="s">
        <v>40</v>
      </c>
      <c r="E3" s="76" t="s">
        <v>41</v>
      </c>
      <c r="F3" s="79" t="s">
        <v>42</v>
      </c>
      <c r="G3" s="34"/>
      <c r="H3" s="4"/>
    </row>
    <row r="4" spans="1:10">
      <c r="B4" s="29">
        <f>C15</f>
        <v>40455</v>
      </c>
      <c r="C4" s="78">
        <f>M21</f>
        <v>16.2698</v>
      </c>
      <c r="D4" s="31">
        <f>D68</f>
        <v>73500.103806415646</v>
      </c>
      <c r="E4" s="31">
        <f>F19</f>
        <v>5695.7299485839512</v>
      </c>
      <c r="F4" s="74">
        <f>'Pawdep scenario'!G5</f>
        <v>73500</v>
      </c>
      <c r="G4" s="34"/>
      <c r="H4" s="4"/>
      <c r="I4" s="23"/>
    </row>
    <row r="5" spans="1:10">
      <c r="B5" s="29">
        <f>C76</f>
        <v>40546</v>
      </c>
      <c r="C5" s="78">
        <f>M82</f>
        <v>16.259</v>
      </c>
      <c r="D5" s="31">
        <f>D129</f>
        <v>73499.698883096455</v>
      </c>
      <c r="E5" s="31">
        <f>F80</f>
        <v>5694.6207154380681</v>
      </c>
      <c r="F5" s="34"/>
      <c r="G5" s="34"/>
    </row>
    <row r="6" spans="1:10">
      <c r="B6" s="29">
        <f>C136</f>
        <v>40609</v>
      </c>
      <c r="C6" s="78">
        <f>M142</f>
        <v>16.339400000000001</v>
      </c>
      <c r="D6" s="31">
        <f>D189</f>
        <v>73500.165971934766</v>
      </c>
      <c r="E6" s="31">
        <f>F80</f>
        <v>5694.6207154380681</v>
      </c>
      <c r="F6" s="34"/>
      <c r="G6" s="34"/>
      <c r="J6" s="38"/>
    </row>
    <row r="7" spans="1:10">
      <c r="B7" s="29">
        <f>C198</f>
        <v>40728</v>
      </c>
      <c r="C7" s="78">
        <f>M204</f>
        <v>16.243500000000001</v>
      </c>
      <c r="D7" s="31">
        <f>D252</f>
        <v>73499.682061059008</v>
      </c>
      <c r="E7" s="31">
        <f>F202</f>
        <v>5693.0289732807605</v>
      </c>
      <c r="F7" s="34"/>
      <c r="G7" s="34"/>
      <c r="J7" s="38"/>
    </row>
    <row r="8" spans="1:10">
      <c r="C8" s="3"/>
      <c r="D8" s="34"/>
      <c r="E8" s="34"/>
      <c r="F8" s="34"/>
      <c r="G8" s="34"/>
      <c r="J8" s="38"/>
    </row>
    <row r="9" spans="1:10">
      <c r="C9" s="3"/>
      <c r="D9" s="34"/>
      <c r="E9" s="34"/>
      <c r="F9" s="34"/>
      <c r="G9" s="34"/>
      <c r="J9" s="38"/>
    </row>
    <row r="10" spans="1:10">
      <c r="C10" s="3"/>
      <c r="D10" s="34"/>
      <c r="E10" s="34"/>
      <c r="F10" s="34"/>
      <c r="G10" s="34"/>
      <c r="J10" s="38"/>
    </row>
    <row r="11" spans="1:10">
      <c r="B11" s="2" t="s">
        <v>7</v>
      </c>
      <c r="D11" s="1"/>
    </row>
    <row r="12" spans="1:10">
      <c r="B12" s="2"/>
      <c r="D12" s="1"/>
      <c r="H12" s="25"/>
    </row>
    <row r="13" spans="1:10">
      <c r="B13" t="s">
        <v>6</v>
      </c>
      <c r="C13" s="4">
        <v>200000</v>
      </c>
      <c r="D13" s="1"/>
    </row>
    <row r="14" spans="1:10">
      <c r="B14" t="s">
        <v>16</v>
      </c>
      <c r="C14" s="4">
        <v>48</v>
      </c>
      <c r="D14" s="1"/>
    </row>
    <row r="15" spans="1:10">
      <c r="B15" s="24" t="s">
        <v>12</v>
      </c>
      <c r="C15" s="40">
        <v>40455</v>
      </c>
      <c r="D15" s="1"/>
    </row>
    <row r="16" spans="1:10">
      <c r="C16" s="21"/>
      <c r="D16" s="1"/>
    </row>
    <row r="17" spans="1:15">
      <c r="C17" s="3"/>
      <c r="D17" s="1"/>
      <c r="G17" t="s">
        <v>14</v>
      </c>
    </row>
    <row r="18" spans="1:15">
      <c r="A18" s="32" t="s">
        <v>13</v>
      </c>
      <c r="B18" s="32" t="s">
        <v>9</v>
      </c>
      <c r="C18" s="41" t="s">
        <v>11</v>
      </c>
      <c r="D18" s="54" t="s">
        <v>2</v>
      </c>
      <c r="E18" s="41" t="s">
        <v>3</v>
      </c>
      <c r="F18" s="41" t="s">
        <v>22</v>
      </c>
      <c r="G18" s="42">
        <f>C13</f>
        <v>200000</v>
      </c>
      <c r="H18" s="56" t="s">
        <v>26</v>
      </c>
      <c r="I18" s="44"/>
      <c r="J18" s="45"/>
      <c r="L18" s="36" t="s">
        <v>17</v>
      </c>
      <c r="M18" s="26">
        <f>M21/100/12</f>
        <v>1.3558166666666668E-2</v>
      </c>
      <c r="N18" t="s">
        <v>23</v>
      </c>
    </row>
    <row r="19" spans="1:15">
      <c r="A19" s="27">
        <v>1</v>
      </c>
      <c r="B19" s="29">
        <v>40483</v>
      </c>
      <c r="C19" s="46">
        <f>B19-C15</f>
        <v>28</v>
      </c>
      <c r="D19" s="48">
        <f>$M$22*G18*C19</f>
        <v>2496.1884931506852</v>
      </c>
      <c r="E19" s="48">
        <f>F19-D19</f>
        <v>3199.541455433266</v>
      </c>
      <c r="F19" s="48">
        <f>$O$20</f>
        <v>5695.7299485839512</v>
      </c>
      <c r="G19" s="48">
        <f>G18-E19</f>
        <v>196800.45854456673</v>
      </c>
      <c r="H19" s="48"/>
      <c r="I19" s="48"/>
      <c r="J19" s="35"/>
      <c r="L19" s="37" t="s">
        <v>18</v>
      </c>
      <c r="M19" s="26">
        <v>200000</v>
      </c>
    </row>
    <row r="20" spans="1:15">
      <c r="A20" s="27">
        <v>2</v>
      </c>
      <c r="B20" s="29">
        <v>40518</v>
      </c>
      <c r="C20" s="46">
        <f>B20-B19</f>
        <v>35</v>
      </c>
      <c r="D20" s="48">
        <f t="shared" ref="D20:D66" si="0">$M$22*G19*C20</f>
        <v>3070.3190004107864</v>
      </c>
      <c r="E20" s="48">
        <f t="shared" ref="E20:E66" si="1">F20-D20</f>
        <v>2625.4109481731648</v>
      </c>
      <c r="F20" s="48">
        <f t="shared" ref="F20:F65" si="2">$O$20</f>
        <v>5695.7299485839512</v>
      </c>
      <c r="G20" s="48">
        <f>G19-E20</f>
        <v>194175.04759639356</v>
      </c>
      <c r="H20" s="48"/>
      <c r="I20" s="48"/>
      <c r="J20" s="35"/>
      <c r="L20" s="37" t="s">
        <v>19</v>
      </c>
      <c r="M20" s="26">
        <v>48</v>
      </c>
      <c r="N20" t="s">
        <v>24</v>
      </c>
      <c r="O20" s="24">
        <f>(M18*M19)/(1-(1+M18)^-M20)</f>
        <v>5695.7299485839512</v>
      </c>
    </row>
    <row r="21" spans="1:15">
      <c r="A21" s="27">
        <v>3</v>
      </c>
      <c r="B21" s="29">
        <v>40546</v>
      </c>
      <c r="C21" s="46">
        <f t="shared" ref="C21" si="3">B21-B20</f>
        <v>28</v>
      </c>
      <c r="D21" s="48">
        <f t="shared" si="0"/>
        <v>2423.4875973355206</v>
      </c>
      <c r="E21" s="48">
        <f t="shared" si="1"/>
        <v>3272.2423512484306</v>
      </c>
      <c r="F21" s="48">
        <f>$O$20</f>
        <v>5695.7299485839512</v>
      </c>
      <c r="G21" s="48">
        <f t="shared" ref="G21:G66" si="4">G20-E21</f>
        <v>190902.80524514514</v>
      </c>
      <c r="H21" s="48"/>
      <c r="I21" s="48"/>
      <c r="J21" s="35"/>
      <c r="L21" s="37" t="s">
        <v>20</v>
      </c>
      <c r="M21" s="26">
        <v>16.2698</v>
      </c>
    </row>
    <row r="22" spans="1:15">
      <c r="A22" s="27">
        <v>4</v>
      </c>
      <c r="B22" s="29">
        <v>40581</v>
      </c>
      <c r="C22" s="46">
        <f>B22-B21</f>
        <v>35</v>
      </c>
      <c r="D22" s="48">
        <f t="shared" si="0"/>
        <v>2978.3086610194846</v>
      </c>
      <c r="E22" s="48">
        <f t="shared" si="1"/>
        <v>2717.4212875644666</v>
      </c>
      <c r="F22" s="48">
        <f t="shared" si="2"/>
        <v>5695.7299485839512</v>
      </c>
      <c r="G22" s="48">
        <f t="shared" si="4"/>
        <v>188185.38395758066</v>
      </c>
      <c r="H22" s="48"/>
      <c r="I22" s="48"/>
      <c r="J22" s="35"/>
      <c r="L22" s="37" t="s">
        <v>25</v>
      </c>
      <c r="M22" s="26">
        <f>M21/36500</f>
        <v>4.4574794520547945E-4</v>
      </c>
    </row>
    <row r="23" spans="1:15">
      <c r="A23" s="27">
        <v>5</v>
      </c>
      <c r="B23" s="29">
        <v>40609</v>
      </c>
      <c r="C23" s="46">
        <f>B23-B22</f>
        <v>28</v>
      </c>
      <c r="D23" s="48">
        <f t="shared" si="0"/>
        <v>2348.7309500702818</v>
      </c>
      <c r="E23" s="48">
        <f t="shared" si="1"/>
        <v>3346.9989985136694</v>
      </c>
      <c r="F23" s="48">
        <f t="shared" si="2"/>
        <v>5695.7299485839512</v>
      </c>
      <c r="G23" s="48">
        <f t="shared" si="4"/>
        <v>184838.38495906699</v>
      </c>
      <c r="H23" s="48"/>
      <c r="I23" s="48"/>
      <c r="J23" s="35"/>
    </row>
    <row r="24" spans="1:15">
      <c r="A24" s="27">
        <v>6</v>
      </c>
      <c r="B24" s="29">
        <v>40637</v>
      </c>
      <c r="C24" s="46">
        <f>B24-B23</f>
        <v>28</v>
      </c>
      <c r="D24" s="48">
        <f t="shared" si="0"/>
        <v>2306.9572481368982</v>
      </c>
      <c r="E24" s="48">
        <f t="shared" si="1"/>
        <v>3388.772700447053</v>
      </c>
      <c r="F24" s="48">
        <f t="shared" si="2"/>
        <v>5695.7299485839512</v>
      </c>
      <c r="G24" s="48">
        <f t="shared" si="4"/>
        <v>181449.61225861992</v>
      </c>
      <c r="H24" s="48"/>
      <c r="I24" s="48"/>
      <c r="J24" s="35"/>
    </row>
    <row r="25" spans="1:15">
      <c r="A25" s="27">
        <v>7</v>
      </c>
      <c r="B25" s="29">
        <v>40665</v>
      </c>
      <c r="C25" s="46">
        <f t="shared" ref="C25:C32" si="5">B25-B24</f>
        <v>28</v>
      </c>
      <c r="D25" s="48">
        <f t="shared" si="0"/>
        <v>2264.6621710331024</v>
      </c>
      <c r="E25" s="48">
        <f t="shared" si="1"/>
        <v>3431.0677775508489</v>
      </c>
      <c r="F25" s="48">
        <f t="shared" si="2"/>
        <v>5695.7299485839512</v>
      </c>
      <c r="G25" s="48">
        <f t="shared" si="4"/>
        <v>178018.54448106908</v>
      </c>
      <c r="H25" s="48"/>
      <c r="I25" s="48"/>
      <c r="J25" s="35"/>
    </row>
    <row r="26" spans="1:15">
      <c r="A26" s="27">
        <v>8</v>
      </c>
      <c r="B26" s="29">
        <v>40700</v>
      </c>
      <c r="C26" s="46">
        <f t="shared" si="5"/>
        <v>35</v>
      </c>
      <c r="D26" s="48">
        <f t="shared" si="0"/>
        <v>2777.2990143817378</v>
      </c>
      <c r="E26" s="48">
        <f t="shared" si="1"/>
        <v>2918.4309342022134</v>
      </c>
      <c r="F26" s="48">
        <f t="shared" si="2"/>
        <v>5695.7299485839512</v>
      </c>
      <c r="G26" s="48">
        <f t="shared" si="4"/>
        <v>175100.11354686687</v>
      </c>
      <c r="H26" s="48"/>
      <c r="I26" s="48"/>
      <c r="J26" s="35"/>
    </row>
    <row r="27" spans="1:15">
      <c r="A27" s="27">
        <v>9</v>
      </c>
      <c r="B27" s="29">
        <v>40728</v>
      </c>
      <c r="C27" s="46">
        <f t="shared" si="5"/>
        <v>28</v>
      </c>
      <c r="D27" s="48">
        <f t="shared" si="0"/>
        <v>2185.414442925337</v>
      </c>
      <c r="E27" s="48">
        <f t="shared" si="1"/>
        <v>3510.3155056586143</v>
      </c>
      <c r="F27" s="48">
        <f t="shared" si="2"/>
        <v>5695.7299485839512</v>
      </c>
      <c r="G27" s="48">
        <f t="shared" si="4"/>
        <v>171589.79804120824</v>
      </c>
      <c r="H27" s="48"/>
      <c r="I27" s="48"/>
      <c r="J27" s="35"/>
    </row>
    <row r="28" spans="1:15">
      <c r="A28" s="27">
        <v>10</v>
      </c>
      <c r="B28" s="29">
        <v>40756</v>
      </c>
      <c r="C28" s="46">
        <f t="shared" si="5"/>
        <v>28</v>
      </c>
      <c r="D28" s="48">
        <f t="shared" si="0"/>
        <v>2141.6023970625697</v>
      </c>
      <c r="E28" s="48">
        <f t="shared" si="1"/>
        <v>3554.1275515213815</v>
      </c>
      <c r="F28" s="48">
        <f t="shared" si="2"/>
        <v>5695.7299485839512</v>
      </c>
      <c r="G28" s="48">
        <f t="shared" si="4"/>
        <v>168035.67048968686</v>
      </c>
      <c r="H28" s="48"/>
      <c r="I28" s="48"/>
      <c r="J28" s="35"/>
    </row>
    <row r="29" spans="1:15">
      <c r="A29" s="27">
        <v>11</v>
      </c>
      <c r="B29" s="29">
        <v>40791</v>
      </c>
      <c r="C29" s="46">
        <f t="shared" si="5"/>
        <v>35</v>
      </c>
      <c r="D29" s="48">
        <f t="shared" si="0"/>
        <v>2621.5544194701029</v>
      </c>
      <c r="E29" s="48">
        <f t="shared" si="1"/>
        <v>3074.1755291138484</v>
      </c>
      <c r="F29" s="48">
        <f t="shared" si="2"/>
        <v>5695.7299485839512</v>
      </c>
      <c r="G29" s="48">
        <f t="shared" si="4"/>
        <v>164961.49496057301</v>
      </c>
      <c r="H29" s="48"/>
      <c r="I29" s="48"/>
      <c r="J29" s="35"/>
    </row>
    <row r="30" spans="1:15">
      <c r="A30" s="27">
        <v>12</v>
      </c>
      <c r="B30" s="29">
        <v>40819</v>
      </c>
      <c r="C30" s="46">
        <f t="shared" si="5"/>
        <v>28</v>
      </c>
      <c r="D30" s="48">
        <f t="shared" si="0"/>
        <v>2058.8749276675853</v>
      </c>
      <c r="E30" s="48">
        <f t="shared" si="1"/>
        <v>3636.8550209163659</v>
      </c>
      <c r="F30" s="48">
        <f t="shared" si="2"/>
        <v>5695.7299485839512</v>
      </c>
      <c r="G30" s="48">
        <f t="shared" si="4"/>
        <v>161324.63993965666</v>
      </c>
      <c r="H30" s="48"/>
      <c r="I30" s="48"/>
      <c r="J30" s="35"/>
    </row>
    <row r="31" spans="1:15">
      <c r="A31" s="27">
        <v>13</v>
      </c>
      <c r="B31" s="29">
        <v>40854</v>
      </c>
      <c r="C31" s="46">
        <f t="shared" si="5"/>
        <v>35</v>
      </c>
      <c r="D31" s="48">
        <f t="shared" si="0"/>
        <v>2516.8544367440522</v>
      </c>
      <c r="E31" s="48">
        <f t="shared" si="1"/>
        <v>3178.875511839899</v>
      </c>
      <c r="F31" s="48">
        <f t="shared" si="2"/>
        <v>5695.7299485839512</v>
      </c>
      <c r="G31" s="48">
        <f t="shared" si="4"/>
        <v>158145.76442781676</v>
      </c>
      <c r="H31" s="48"/>
      <c r="I31" s="48"/>
      <c r="J31" s="35"/>
    </row>
    <row r="32" spans="1:15">
      <c r="A32" s="27">
        <v>14</v>
      </c>
      <c r="B32" s="29">
        <v>40882</v>
      </c>
      <c r="C32" s="46">
        <f t="shared" si="5"/>
        <v>28</v>
      </c>
      <c r="D32" s="48">
        <f t="shared" si="0"/>
        <v>1973.8081870261756</v>
      </c>
      <c r="E32" s="48">
        <f t="shared" si="1"/>
        <v>3721.9217615577754</v>
      </c>
      <c r="F32" s="48">
        <f t="shared" si="2"/>
        <v>5695.7299485839512</v>
      </c>
      <c r="G32" s="48">
        <f t="shared" si="4"/>
        <v>154423.84266625898</v>
      </c>
      <c r="H32" s="48"/>
      <c r="I32" s="48"/>
      <c r="J32" s="35"/>
    </row>
    <row r="33" spans="1:10">
      <c r="A33" s="59">
        <v>15</v>
      </c>
      <c r="B33" s="29">
        <v>40910</v>
      </c>
      <c r="C33" s="61">
        <f>B33-B32</f>
        <v>28</v>
      </c>
      <c r="D33" s="48">
        <f t="shared" si="0"/>
        <v>1927.3550956581371</v>
      </c>
      <c r="E33" s="48">
        <f t="shared" si="1"/>
        <v>3768.3748529258141</v>
      </c>
      <c r="F33" s="48">
        <f t="shared" si="2"/>
        <v>5695.7299485839512</v>
      </c>
      <c r="G33" s="62">
        <f t="shared" si="4"/>
        <v>150655.46781333318</v>
      </c>
      <c r="H33" s="62"/>
      <c r="I33" s="62"/>
      <c r="J33" s="63"/>
    </row>
    <row r="34" spans="1:10" s="27" customFormat="1">
      <c r="A34" s="27">
        <v>16</v>
      </c>
      <c r="B34" s="29">
        <v>40945</v>
      </c>
      <c r="C34" s="46">
        <f t="shared" ref="C34:C66" si="6">B34-B33</f>
        <v>35</v>
      </c>
      <c r="D34" s="48">
        <f t="shared" si="0"/>
        <v>2350.4027824117225</v>
      </c>
      <c r="E34" s="48">
        <f t="shared" si="1"/>
        <v>3345.3271661722288</v>
      </c>
      <c r="F34" s="48">
        <f t="shared" si="2"/>
        <v>5695.7299485839512</v>
      </c>
      <c r="G34" s="48">
        <f t="shared" si="4"/>
        <v>147310.14064716094</v>
      </c>
      <c r="H34" s="49"/>
      <c r="I34" s="30"/>
    </row>
    <row r="35" spans="1:10" s="27" customFormat="1">
      <c r="A35" s="27">
        <v>17</v>
      </c>
      <c r="B35" s="29">
        <v>40973</v>
      </c>
      <c r="C35" s="46">
        <f t="shared" si="6"/>
        <v>28</v>
      </c>
      <c r="D35" s="48">
        <f t="shared" si="0"/>
        <v>1838.5693900392607</v>
      </c>
      <c r="E35" s="48">
        <f t="shared" si="1"/>
        <v>3857.1605585446905</v>
      </c>
      <c r="F35" s="48">
        <f t="shared" si="2"/>
        <v>5695.7299485839512</v>
      </c>
      <c r="G35" s="48">
        <f t="shared" si="4"/>
        <v>143452.98008861626</v>
      </c>
      <c r="H35" s="49"/>
      <c r="I35" s="30"/>
    </row>
    <row r="36" spans="1:10" s="27" customFormat="1">
      <c r="A36" s="27">
        <v>18</v>
      </c>
      <c r="B36" s="29">
        <v>41001</v>
      </c>
      <c r="C36" s="46">
        <f t="shared" si="6"/>
        <v>28</v>
      </c>
      <c r="D36" s="48">
        <f t="shared" si="0"/>
        <v>1790.4283910268909</v>
      </c>
      <c r="E36" s="48">
        <f t="shared" si="1"/>
        <v>3905.3015575570603</v>
      </c>
      <c r="F36" s="48">
        <f t="shared" si="2"/>
        <v>5695.7299485839512</v>
      </c>
      <c r="G36" s="48">
        <f t="shared" si="4"/>
        <v>139547.67853105921</v>
      </c>
      <c r="H36" s="49"/>
      <c r="I36" s="30"/>
    </row>
    <row r="37" spans="1:10" s="27" customFormat="1">
      <c r="A37" s="27">
        <v>19</v>
      </c>
      <c r="B37" s="29">
        <v>41036</v>
      </c>
      <c r="C37" s="46">
        <f t="shared" si="6"/>
        <v>35</v>
      </c>
      <c r="D37" s="48">
        <f t="shared" si="0"/>
        <v>2177.1081837195052</v>
      </c>
      <c r="E37" s="48">
        <f t="shared" si="1"/>
        <v>3518.621764864446</v>
      </c>
      <c r="F37" s="48">
        <f t="shared" si="2"/>
        <v>5695.7299485839512</v>
      </c>
      <c r="G37" s="48">
        <f t="shared" si="4"/>
        <v>136029.05676619476</v>
      </c>
      <c r="H37" s="49"/>
      <c r="I37" s="30"/>
    </row>
    <row r="38" spans="1:10" s="27" customFormat="1">
      <c r="A38" s="27">
        <v>20</v>
      </c>
      <c r="B38" s="29">
        <v>41064</v>
      </c>
      <c r="C38" s="46">
        <f t="shared" si="6"/>
        <v>28</v>
      </c>
      <c r="D38" s="48">
        <f t="shared" si="0"/>
        <v>1697.7708311695833</v>
      </c>
      <c r="E38" s="48">
        <f t="shared" si="1"/>
        <v>3997.9591174143679</v>
      </c>
      <c r="F38" s="48">
        <f t="shared" si="2"/>
        <v>5695.7299485839512</v>
      </c>
      <c r="G38" s="48">
        <f t="shared" si="4"/>
        <v>132031.09764878039</v>
      </c>
      <c r="H38" s="49"/>
      <c r="I38" s="30"/>
    </row>
    <row r="39" spans="1:10">
      <c r="A39" s="27">
        <v>21</v>
      </c>
      <c r="B39" s="29">
        <v>41092</v>
      </c>
      <c r="C39" s="46">
        <f t="shared" si="6"/>
        <v>28</v>
      </c>
      <c r="D39" s="48">
        <f t="shared" si="0"/>
        <v>1647.8725334447004</v>
      </c>
      <c r="E39" s="48">
        <f t="shared" si="1"/>
        <v>4047.8574151392509</v>
      </c>
      <c r="F39" s="48">
        <f t="shared" si="2"/>
        <v>5695.7299485839512</v>
      </c>
      <c r="G39" s="48">
        <f t="shared" si="4"/>
        <v>127983.24023364113</v>
      </c>
      <c r="H39" s="49"/>
      <c r="I39" s="30"/>
      <c r="J39" s="27"/>
    </row>
    <row r="40" spans="1:10">
      <c r="A40" s="27">
        <v>22</v>
      </c>
      <c r="B40" s="29">
        <v>41127</v>
      </c>
      <c r="C40" s="46">
        <f t="shared" si="6"/>
        <v>35</v>
      </c>
      <c r="D40" s="48">
        <f t="shared" si="0"/>
        <v>1996.6893224209673</v>
      </c>
      <c r="E40" s="48">
        <f t="shared" si="1"/>
        <v>3699.0406261629842</v>
      </c>
      <c r="F40" s="48">
        <f t="shared" si="2"/>
        <v>5695.7299485839512</v>
      </c>
      <c r="G40" s="48">
        <f t="shared" si="4"/>
        <v>124284.19960747815</v>
      </c>
      <c r="H40" s="49"/>
      <c r="I40" s="30"/>
      <c r="J40" s="27"/>
    </row>
    <row r="41" spans="1:10">
      <c r="A41" s="27">
        <v>23</v>
      </c>
      <c r="B41" s="29">
        <v>41155</v>
      </c>
      <c r="C41" s="46">
        <f t="shared" si="6"/>
        <v>28</v>
      </c>
      <c r="D41" s="48">
        <f t="shared" si="0"/>
        <v>1551.1839447031491</v>
      </c>
      <c r="E41" s="48">
        <f t="shared" si="1"/>
        <v>4144.5460038808023</v>
      </c>
      <c r="F41" s="48">
        <f t="shared" si="2"/>
        <v>5695.7299485839512</v>
      </c>
      <c r="G41" s="48">
        <f t="shared" si="4"/>
        <v>120139.65360359734</v>
      </c>
      <c r="H41" s="49"/>
      <c r="I41" s="30"/>
      <c r="J41" s="27"/>
    </row>
    <row r="42" spans="1:10">
      <c r="A42" s="27">
        <v>24</v>
      </c>
      <c r="B42" s="29">
        <v>41183</v>
      </c>
      <c r="C42" s="46">
        <f t="shared" si="6"/>
        <v>28</v>
      </c>
      <c r="D42" s="48">
        <f t="shared" si="0"/>
        <v>1499.4561044820446</v>
      </c>
      <c r="E42" s="48">
        <f t="shared" si="1"/>
        <v>4196.2738441019064</v>
      </c>
      <c r="F42" s="48">
        <f t="shared" si="2"/>
        <v>5695.7299485839512</v>
      </c>
      <c r="G42" s="48">
        <f t="shared" si="4"/>
        <v>115943.37975949544</v>
      </c>
      <c r="H42" s="49"/>
      <c r="I42" s="30"/>
      <c r="J42" s="27"/>
    </row>
    <row r="43" spans="1:10">
      <c r="A43" s="27">
        <v>25</v>
      </c>
      <c r="B43" s="29">
        <v>41218</v>
      </c>
      <c r="C43" s="46">
        <f t="shared" si="6"/>
        <v>35</v>
      </c>
      <c r="D43" s="48">
        <f t="shared" si="0"/>
        <v>1808.8533150790784</v>
      </c>
      <c r="E43" s="48">
        <f t="shared" si="1"/>
        <v>3886.8766335048731</v>
      </c>
      <c r="F43" s="48">
        <f t="shared" si="2"/>
        <v>5695.7299485839512</v>
      </c>
      <c r="G43" s="48">
        <f t="shared" si="4"/>
        <v>112056.50312599057</v>
      </c>
      <c r="H43" s="49"/>
      <c r="I43" s="30"/>
      <c r="J43" s="27"/>
    </row>
    <row r="44" spans="1:10">
      <c r="A44" s="27">
        <v>26</v>
      </c>
      <c r="B44" s="29">
        <v>41246</v>
      </c>
      <c r="C44" s="46">
        <f t="shared" si="6"/>
        <v>28</v>
      </c>
      <c r="D44" s="48">
        <f t="shared" si="0"/>
        <v>1398.5707684290069</v>
      </c>
      <c r="E44" s="48">
        <f t="shared" si="1"/>
        <v>4297.1591801549439</v>
      </c>
      <c r="F44" s="48">
        <f t="shared" si="2"/>
        <v>5695.7299485839512</v>
      </c>
      <c r="G44" s="48">
        <f t="shared" si="4"/>
        <v>107759.34394583563</v>
      </c>
      <c r="H44" s="49"/>
      <c r="I44" s="30"/>
      <c r="J44" s="27"/>
    </row>
    <row r="45" spans="1:10">
      <c r="A45" s="27">
        <v>27</v>
      </c>
      <c r="B45" s="29">
        <v>41281</v>
      </c>
      <c r="C45" s="46">
        <f t="shared" si="6"/>
        <v>35</v>
      </c>
      <c r="D45" s="48">
        <f t="shared" si="0"/>
        <v>1681.1727149191365</v>
      </c>
      <c r="E45" s="48">
        <f t="shared" si="1"/>
        <v>4014.5572336648147</v>
      </c>
      <c r="F45" s="48">
        <f t="shared" si="2"/>
        <v>5695.7299485839512</v>
      </c>
      <c r="G45" s="48">
        <f t="shared" si="4"/>
        <v>103744.78671217081</v>
      </c>
      <c r="H45" s="49"/>
      <c r="I45" s="30"/>
      <c r="J45" s="27"/>
    </row>
    <row r="46" spans="1:10">
      <c r="A46" s="27">
        <v>28</v>
      </c>
      <c r="B46" s="29">
        <v>41309</v>
      </c>
      <c r="C46" s="46">
        <f t="shared" si="6"/>
        <v>28</v>
      </c>
      <c r="D46" s="48">
        <f t="shared" si="0"/>
        <v>1294.8327140764643</v>
      </c>
      <c r="E46" s="48">
        <f t="shared" si="1"/>
        <v>4400.8972345074872</v>
      </c>
      <c r="F46" s="48">
        <f t="shared" si="2"/>
        <v>5695.7299485839512</v>
      </c>
      <c r="G46" s="48">
        <f t="shared" si="4"/>
        <v>99343.889477663324</v>
      </c>
      <c r="H46" s="49"/>
      <c r="I46" s="30"/>
      <c r="J46" s="27"/>
    </row>
    <row r="47" spans="1:10">
      <c r="A47" s="27">
        <v>29</v>
      </c>
      <c r="B47" s="29">
        <v>41337</v>
      </c>
      <c r="C47" s="46">
        <f t="shared" si="6"/>
        <v>28</v>
      </c>
      <c r="D47" s="48">
        <f t="shared" si="0"/>
        <v>1239.9053688948829</v>
      </c>
      <c r="E47" s="48">
        <f t="shared" si="1"/>
        <v>4455.8245796890678</v>
      </c>
      <c r="F47" s="48">
        <f t="shared" si="2"/>
        <v>5695.7299485839512</v>
      </c>
      <c r="G47" s="48">
        <f t="shared" si="4"/>
        <v>94888.064897974255</v>
      </c>
      <c r="H47" s="49"/>
      <c r="I47" s="30"/>
      <c r="J47" s="27"/>
    </row>
    <row r="48" spans="1:10">
      <c r="A48" s="27">
        <v>30</v>
      </c>
      <c r="B48" s="29">
        <v>41365</v>
      </c>
      <c r="C48" s="46">
        <f t="shared" si="6"/>
        <v>28</v>
      </c>
      <c r="D48" s="48">
        <f t="shared" si="0"/>
        <v>1184.2924786782939</v>
      </c>
      <c r="E48" s="48">
        <f t="shared" si="1"/>
        <v>4511.4374699056571</v>
      </c>
      <c r="F48" s="48">
        <f t="shared" si="2"/>
        <v>5695.7299485839512</v>
      </c>
      <c r="G48" s="48">
        <f t="shared" si="4"/>
        <v>90376.627428068605</v>
      </c>
      <c r="H48" s="49"/>
      <c r="I48" s="30"/>
      <c r="J48" s="27"/>
    </row>
    <row r="49" spans="1:10">
      <c r="A49" s="27">
        <v>31</v>
      </c>
      <c r="B49" s="29">
        <v>41400</v>
      </c>
      <c r="C49" s="46">
        <f t="shared" si="6"/>
        <v>35</v>
      </c>
      <c r="D49" s="48">
        <f t="shared" si="0"/>
        <v>1409.9818589731965</v>
      </c>
      <c r="E49" s="48">
        <f t="shared" si="1"/>
        <v>4285.7480896107545</v>
      </c>
      <c r="F49" s="48">
        <f t="shared" si="2"/>
        <v>5695.7299485839512</v>
      </c>
      <c r="G49" s="48">
        <f t="shared" si="4"/>
        <v>86090.879338457846</v>
      </c>
      <c r="H49" s="49"/>
      <c r="I49" s="30"/>
      <c r="J49" s="27"/>
    </row>
    <row r="50" spans="1:10">
      <c r="A50" s="27">
        <v>32</v>
      </c>
      <c r="B50" s="29">
        <v>41428</v>
      </c>
      <c r="C50" s="46">
        <f t="shared" si="6"/>
        <v>28</v>
      </c>
      <c r="D50" s="48">
        <f t="shared" si="0"/>
        <v>1074.4953118494127</v>
      </c>
      <c r="E50" s="48">
        <f t="shared" si="1"/>
        <v>4621.2346367345381</v>
      </c>
      <c r="F50" s="48">
        <f t="shared" si="2"/>
        <v>5695.7299485839512</v>
      </c>
      <c r="G50" s="48">
        <f t="shared" si="4"/>
        <v>81469.6447017233</v>
      </c>
      <c r="H50" s="49"/>
      <c r="I50" s="30"/>
      <c r="J50" s="27"/>
    </row>
    <row r="51" spans="1:10">
      <c r="A51" s="27">
        <v>33</v>
      </c>
      <c r="B51" s="29">
        <v>41456</v>
      </c>
      <c r="C51" s="46">
        <f t="shared" si="6"/>
        <v>28</v>
      </c>
      <c r="D51" s="48">
        <f t="shared" si="0"/>
        <v>1016.8179482275818</v>
      </c>
      <c r="E51" s="48">
        <f t="shared" si="1"/>
        <v>4678.9120003563694</v>
      </c>
      <c r="F51" s="48">
        <f t="shared" si="2"/>
        <v>5695.7299485839512</v>
      </c>
      <c r="G51" s="48">
        <f t="shared" si="4"/>
        <v>76790.732701366927</v>
      </c>
      <c r="H51" s="49"/>
      <c r="I51" s="30"/>
      <c r="J51" s="27"/>
    </row>
    <row r="52" spans="1:10">
      <c r="A52" s="27">
        <v>34</v>
      </c>
      <c r="B52" s="29">
        <v>41491</v>
      </c>
      <c r="C52" s="46">
        <f t="shared" si="6"/>
        <v>35</v>
      </c>
      <c r="D52" s="48">
        <f t="shared" si="0"/>
        <v>1198.0258959360135</v>
      </c>
      <c r="E52" s="48">
        <f t="shared" si="1"/>
        <v>4497.7040526479377</v>
      </c>
      <c r="F52" s="48">
        <f t="shared" si="2"/>
        <v>5695.7299485839512</v>
      </c>
      <c r="G52" s="48">
        <f t="shared" si="4"/>
        <v>72293.028648718988</v>
      </c>
      <c r="H52" s="49"/>
      <c r="I52" s="30"/>
      <c r="J52" s="27"/>
    </row>
    <row r="53" spans="1:10">
      <c r="A53" s="27">
        <v>35</v>
      </c>
      <c r="B53" s="29">
        <v>41519</v>
      </c>
      <c r="C53" s="46">
        <f t="shared" si="6"/>
        <v>28</v>
      </c>
      <c r="D53" s="48">
        <f t="shared" si="0"/>
        <v>902.28513123972573</v>
      </c>
      <c r="E53" s="48">
        <f t="shared" si="1"/>
        <v>4793.4448173442252</v>
      </c>
      <c r="F53" s="48">
        <f t="shared" si="2"/>
        <v>5695.7299485839512</v>
      </c>
      <c r="G53" s="48">
        <f t="shared" si="4"/>
        <v>67499.583831374766</v>
      </c>
      <c r="H53" s="49"/>
      <c r="I53" s="30"/>
      <c r="J53" s="27"/>
    </row>
    <row r="54" spans="1:10">
      <c r="A54" s="27">
        <v>36</v>
      </c>
      <c r="B54" s="29">
        <v>41554</v>
      </c>
      <c r="C54" s="46">
        <f t="shared" si="6"/>
        <v>35</v>
      </c>
      <c r="D54" s="48">
        <f t="shared" si="0"/>
        <v>1053.0730278271108</v>
      </c>
      <c r="E54" s="48">
        <f t="shared" si="1"/>
        <v>4642.6569207568409</v>
      </c>
      <c r="F54" s="48">
        <f t="shared" si="2"/>
        <v>5695.7299485839512</v>
      </c>
      <c r="G54" s="48">
        <f t="shared" si="4"/>
        <v>62856.926910617927</v>
      </c>
      <c r="H54" s="49"/>
      <c r="I54" s="30"/>
      <c r="J54" s="27"/>
    </row>
    <row r="55" spans="1:10">
      <c r="A55" s="27">
        <v>37</v>
      </c>
      <c r="B55" s="29">
        <v>41582</v>
      </c>
      <c r="C55" s="46">
        <f t="shared" si="6"/>
        <v>28</v>
      </c>
      <c r="D55" s="48">
        <f t="shared" si="0"/>
        <v>784.51368834549044</v>
      </c>
      <c r="E55" s="48">
        <f t="shared" si="1"/>
        <v>4911.2162602384606</v>
      </c>
      <c r="F55" s="48">
        <f t="shared" si="2"/>
        <v>5695.7299485839512</v>
      </c>
      <c r="G55" s="48">
        <f t="shared" si="4"/>
        <v>57945.710650379464</v>
      </c>
      <c r="H55" s="49"/>
      <c r="I55" s="30"/>
      <c r="J55" s="27"/>
    </row>
    <row r="56" spans="1:10">
      <c r="A56" s="27">
        <v>38</v>
      </c>
      <c r="B56" s="29">
        <v>41610</v>
      </c>
      <c r="C56" s="46">
        <f t="shared" si="6"/>
        <v>28</v>
      </c>
      <c r="D56" s="48">
        <f t="shared" si="0"/>
        <v>723.21708076458151</v>
      </c>
      <c r="E56" s="48">
        <f t="shared" si="1"/>
        <v>4972.5128678193696</v>
      </c>
      <c r="F56" s="48">
        <f t="shared" si="2"/>
        <v>5695.7299485839512</v>
      </c>
      <c r="G56" s="48">
        <f t="shared" si="4"/>
        <v>52973.197782560092</v>
      </c>
      <c r="H56" s="49"/>
      <c r="I56" s="30"/>
      <c r="J56" s="27"/>
    </row>
    <row r="57" spans="1:10">
      <c r="A57" s="27">
        <v>39</v>
      </c>
      <c r="B57" s="29">
        <v>41645</v>
      </c>
      <c r="C57" s="46">
        <f t="shared" si="6"/>
        <v>35</v>
      </c>
      <c r="D57" s="48">
        <f t="shared" si="0"/>
        <v>826.44429218888672</v>
      </c>
      <c r="E57" s="48">
        <f t="shared" si="1"/>
        <v>4869.2856563950645</v>
      </c>
      <c r="F57" s="48">
        <f t="shared" si="2"/>
        <v>5695.7299485839512</v>
      </c>
      <c r="G57" s="48">
        <f t="shared" si="4"/>
        <v>48103.912126165029</v>
      </c>
      <c r="H57" s="49"/>
      <c r="I57" s="30"/>
      <c r="J57" s="27"/>
    </row>
    <row r="58" spans="1:10">
      <c r="A58" s="27">
        <v>40</v>
      </c>
      <c r="B58" s="29">
        <v>41673</v>
      </c>
      <c r="C58" s="46">
        <f t="shared" si="6"/>
        <v>28</v>
      </c>
      <c r="D58" s="48">
        <f t="shared" si="0"/>
        <v>600.38215962432423</v>
      </c>
      <c r="E58" s="48">
        <f t="shared" si="1"/>
        <v>5095.347788959627</v>
      </c>
      <c r="F58" s="48">
        <f t="shared" si="2"/>
        <v>5695.7299485839512</v>
      </c>
      <c r="G58" s="48">
        <f t="shared" si="4"/>
        <v>43008.564337205404</v>
      </c>
      <c r="H58" s="49"/>
      <c r="I58" s="30"/>
      <c r="J58" s="27"/>
    </row>
    <row r="59" spans="1:10">
      <c r="A59" s="27">
        <v>41</v>
      </c>
      <c r="B59" s="29">
        <v>41701</v>
      </c>
      <c r="C59" s="46">
        <f t="shared" si="6"/>
        <v>28</v>
      </c>
      <c r="D59" s="48">
        <f t="shared" si="0"/>
        <v>536.7874170273152</v>
      </c>
      <c r="E59" s="48">
        <f t="shared" si="1"/>
        <v>5158.9425315566359</v>
      </c>
      <c r="F59" s="48">
        <f t="shared" si="2"/>
        <v>5695.7299485839512</v>
      </c>
      <c r="G59" s="48">
        <f t="shared" si="4"/>
        <v>37849.621805648771</v>
      </c>
      <c r="H59" s="49"/>
      <c r="I59" s="30"/>
      <c r="J59" s="27"/>
    </row>
    <row r="60" spans="1:10">
      <c r="A60" s="27">
        <v>42</v>
      </c>
      <c r="B60" s="29">
        <v>41736</v>
      </c>
      <c r="C60" s="46">
        <f t="shared" si="6"/>
        <v>35</v>
      </c>
      <c r="D60" s="48">
        <f t="shared" si="0"/>
        <v>590.49869013353566</v>
      </c>
      <c r="E60" s="48">
        <f t="shared" si="1"/>
        <v>5105.2312584504152</v>
      </c>
      <c r="F60" s="48">
        <f t="shared" si="2"/>
        <v>5695.7299485839512</v>
      </c>
      <c r="G60" s="48">
        <f t="shared" si="4"/>
        <v>32744.390547198356</v>
      </c>
      <c r="H60" s="49"/>
      <c r="I60" s="30"/>
      <c r="J60" s="27"/>
    </row>
    <row r="61" spans="1:10">
      <c r="A61" s="27">
        <v>43</v>
      </c>
      <c r="B61" s="29">
        <v>41764</v>
      </c>
      <c r="C61" s="46">
        <f t="shared" si="6"/>
        <v>28</v>
      </c>
      <c r="D61" s="48">
        <f t="shared" si="0"/>
        <v>408.68085449574295</v>
      </c>
      <c r="E61" s="48">
        <f t="shared" si="1"/>
        <v>5287.0490940882082</v>
      </c>
      <c r="F61" s="48">
        <f t="shared" si="2"/>
        <v>5695.7299485839512</v>
      </c>
      <c r="G61" s="48">
        <f t="shared" si="4"/>
        <v>27457.341453110148</v>
      </c>
      <c r="H61" s="49"/>
      <c r="I61" s="30"/>
      <c r="J61" s="27"/>
    </row>
    <row r="62" spans="1:10">
      <c r="A62" s="27">
        <v>44</v>
      </c>
      <c r="B62" s="29">
        <v>41792</v>
      </c>
      <c r="C62" s="46">
        <f t="shared" si="6"/>
        <v>28</v>
      </c>
      <c r="D62" s="48">
        <f t="shared" si="0"/>
        <v>342.69349893881429</v>
      </c>
      <c r="E62" s="48">
        <f t="shared" si="1"/>
        <v>5353.0364496451366</v>
      </c>
      <c r="F62" s="48">
        <f t="shared" si="2"/>
        <v>5695.7299485839512</v>
      </c>
      <c r="G62" s="48">
        <f t="shared" si="4"/>
        <v>22104.305003465011</v>
      </c>
      <c r="H62" s="49"/>
      <c r="I62" s="30"/>
      <c r="J62" s="27"/>
    </row>
    <row r="63" spans="1:10">
      <c r="A63" s="27">
        <v>45</v>
      </c>
      <c r="B63" s="29">
        <v>41827</v>
      </c>
      <c r="C63" s="46">
        <f t="shared" si="6"/>
        <v>35</v>
      </c>
      <c r="D63" s="48">
        <f t="shared" si="0"/>
        <v>344.85319874214042</v>
      </c>
      <c r="E63" s="48">
        <f t="shared" si="1"/>
        <v>5350.876749841811</v>
      </c>
      <c r="F63" s="48">
        <f t="shared" si="2"/>
        <v>5695.7299485839512</v>
      </c>
      <c r="G63" s="48">
        <f t="shared" si="4"/>
        <v>16753.428253623199</v>
      </c>
      <c r="H63" s="49"/>
      <c r="I63" s="30"/>
      <c r="J63" s="27"/>
    </row>
    <row r="64" spans="1:10">
      <c r="A64" s="27">
        <v>46</v>
      </c>
      <c r="B64" s="29">
        <v>41855</v>
      </c>
      <c r="C64" s="46">
        <f t="shared" si="6"/>
        <v>28</v>
      </c>
      <c r="D64" s="48">
        <f t="shared" si="0"/>
        <v>209.09857413759903</v>
      </c>
      <c r="E64" s="48">
        <f t="shared" si="1"/>
        <v>5486.6313744463523</v>
      </c>
      <c r="F64" s="48">
        <f t="shared" si="2"/>
        <v>5695.7299485839512</v>
      </c>
      <c r="G64" s="48">
        <f t="shared" si="4"/>
        <v>11266.796879176847</v>
      </c>
      <c r="H64" s="49"/>
      <c r="I64" s="30"/>
      <c r="J64" s="27"/>
    </row>
    <row r="65" spans="1:14">
      <c r="A65" s="27">
        <v>47</v>
      </c>
      <c r="B65" s="29">
        <v>41883</v>
      </c>
      <c r="C65" s="46">
        <f t="shared" si="6"/>
        <v>28</v>
      </c>
      <c r="D65" s="48">
        <f t="shared" si="0"/>
        <v>140.62024362233646</v>
      </c>
      <c r="E65" s="48">
        <f t="shared" si="1"/>
        <v>5555.1097049616146</v>
      </c>
      <c r="F65" s="48">
        <f t="shared" si="2"/>
        <v>5695.7299485839512</v>
      </c>
      <c r="G65" s="48">
        <f t="shared" si="4"/>
        <v>5711.6871742152325</v>
      </c>
      <c r="H65" s="49"/>
      <c r="I65" s="30"/>
      <c r="J65" s="27"/>
    </row>
    <row r="66" spans="1:14">
      <c r="A66" s="27">
        <v>48</v>
      </c>
      <c r="B66" s="29">
        <v>41918</v>
      </c>
      <c r="C66" s="46">
        <f t="shared" si="6"/>
        <v>35</v>
      </c>
      <c r="D66" s="48">
        <f t="shared" si="0"/>
        <v>89.109048754702599</v>
      </c>
      <c r="E66" s="48">
        <f t="shared" si="1"/>
        <v>5711.8909512452974</v>
      </c>
      <c r="F66" s="48">
        <v>5801</v>
      </c>
      <c r="G66" s="48">
        <f t="shared" si="4"/>
        <v>-0.20377703006488446</v>
      </c>
      <c r="H66" s="49">
        <f>F66+G66</f>
        <v>5800.7962229699351</v>
      </c>
      <c r="I66" s="30"/>
      <c r="J66" s="27"/>
    </row>
    <row r="67" spans="1:14" s="27" customFormat="1">
      <c r="B67" s="29"/>
      <c r="C67" s="46"/>
      <c r="D67" s="48"/>
      <c r="E67" s="48"/>
      <c r="F67" s="48"/>
      <c r="G67" s="48"/>
      <c r="H67" s="49"/>
      <c r="I67" s="30"/>
    </row>
    <row r="68" spans="1:14">
      <c r="A68" s="27"/>
      <c r="B68" s="32" t="s">
        <v>5</v>
      </c>
      <c r="C68" s="57">
        <f>SUM(C19:C66)</f>
        <v>1463</v>
      </c>
      <c r="D68" s="57">
        <f>SUM(D19:D66)</f>
        <v>73500.103806415646</v>
      </c>
      <c r="E68" s="58">
        <f>SUM(E19:E66)</f>
        <v>200000.20377703011</v>
      </c>
      <c r="F68" s="57">
        <f>SUM(F19:F66)</f>
        <v>273500.30758344592</v>
      </c>
      <c r="G68" s="48"/>
      <c r="H68" s="33"/>
      <c r="I68" s="27"/>
      <c r="J68" s="27"/>
    </row>
    <row r="69" spans="1:14" s="2" customFormat="1">
      <c r="A69" s="64"/>
      <c r="B69" s="64"/>
      <c r="C69" s="65"/>
      <c r="D69" s="66"/>
      <c r="E69" s="66"/>
      <c r="F69" s="66"/>
      <c r="G69" s="66"/>
      <c r="H69" s="66"/>
      <c r="I69" s="67"/>
      <c r="J69" s="68"/>
    </row>
    <row r="72" spans="1:14">
      <c r="B72" s="2" t="s">
        <v>10</v>
      </c>
      <c r="D72" s="1"/>
    </row>
    <row r="73" spans="1:14">
      <c r="B73" s="2"/>
      <c r="D73" s="1"/>
      <c r="H73" s="25"/>
    </row>
    <row r="74" spans="1:14">
      <c r="B74" t="s">
        <v>6</v>
      </c>
      <c r="C74" s="4">
        <f>B2</f>
        <v>200000</v>
      </c>
      <c r="D74" s="1"/>
    </row>
    <row r="75" spans="1:14">
      <c r="B75" t="s">
        <v>16</v>
      </c>
      <c r="C75" s="4">
        <v>48</v>
      </c>
      <c r="D75" s="1"/>
    </row>
    <row r="76" spans="1:14">
      <c r="B76" s="24" t="s">
        <v>12</v>
      </c>
      <c r="C76" s="40">
        <v>40546</v>
      </c>
      <c r="D76" s="1"/>
    </row>
    <row r="77" spans="1:14">
      <c r="C77" s="21"/>
      <c r="D77" s="1"/>
    </row>
    <row r="78" spans="1:14">
      <c r="C78" s="3"/>
      <c r="D78" s="1"/>
      <c r="G78" t="s">
        <v>14</v>
      </c>
    </row>
    <row r="79" spans="1:14">
      <c r="A79" s="32" t="s">
        <v>13</v>
      </c>
      <c r="B79" s="32" t="s">
        <v>9</v>
      </c>
      <c r="C79" s="41" t="s">
        <v>11</v>
      </c>
      <c r="D79" s="54" t="s">
        <v>2</v>
      </c>
      <c r="E79" s="41" t="s">
        <v>3</v>
      </c>
      <c r="F79" s="41" t="s">
        <v>22</v>
      </c>
      <c r="G79" s="42">
        <f>B2</f>
        <v>200000</v>
      </c>
      <c r="H79" s="56" t="s">
        <v>26</v>
      </c>
      <c r="I79" s="44"/>
      <c r="J79" s="45"/>
      <c r="L79" s="36" t="s">
        <v>17</v>
      </c>
      <c r="M79" s="26">
        <f>M82/100/12</f>
        <v>1.3549166666666668E-2</v>
      </c>
      <c r="N79" t="s">
        <v>23</v>
      </c>
    </row>
    <row r="80" spans="1:14">
      <c r="A80" s="27">
        <v>1</v>
      </c>
      <c r="B80" s="29">
        <v>40581</v>
      </c>
      <c r="C80" s="46">
        <f>B80-C76</f>
        <v>35</v>
      </c>
      <c r="D80" s="48">
        <f>$M$83*G79*C80</f>
        <v>3118.1643835616442</v>
      </c>
      <c r="E80" s="48">
        <f>F80-D80</f>
        <v>2576.456331876424</v>
      </c>
      <c r="F80" s="48">
        <f t="shared" ref="F80:F126" si="7">$O$81</f>
        <v>5694.6207154380681</v>
      </c>
      <c r="G80" s="48">
        <f>G79-E80</f>
        <v>197423.54366812357</v>
      </c>
      <c r="H80" s="48"/>
      <c r="I80" s="48"/>
      <c r="J80" s="35"/>
      <c r="L80" s="37" t="s">
        <v>18</v>
      </c>
      <c r="M80" s="26">
        <v>200000</v>
      </c>
    </row>
    <row r="81" spans="1:15">
      <c r="A81" s="27">
        <v>2</v>
      </c>
      <c r="B81" s="29">
        <v>40609</v>
      </c>
      <c r="C81" s="46">
        <f>B81-B80</f>
        <v>28</v>
      </c>
      <c r="D81" s="48">
        <f t="shared" ref="D81:D115" si="8">$M$83*G80*C81</f>
        <v>2462.3962493698796</v>
      </c>
      <c r="E81" s="48">
        <f>F81-D81</f>
        <v>3232.2244660681886</v>
      </c>
      <c r="F81" s="48">
        <f t="shared" si="7"/>
        <v>5694.6207154380681</v>
      </c>
      <c r="G81" s="48">
        <f>G80-E81</f>
        <v>194191.3192020554</v>
      </c>
      <c r="H81" s="48"/>
      <c r="I81" s="48"/>
      <c r="J81" s="35"/>
      <c r="L81" s="37" t="s">
        <v>19</v>
      </c>
      <c r="M81" s="26">
        <v>48</v>
      </c>
      <c r="N81" t="s">
        <v>24</v>
      </c>
      <c r="O81" s="24">
        <f>(M79*M80)/(1-(1+M79)^-M81)</f>
        <v>5694.6207154380681</v>
      </c>
    </row>
    <row r="82" spans="1:15">
      <c r="A82" s="27">
        <v>3</v>
      </c>
      <c r="B82" s="29">
        <v>40637</v>
      </c>
      <c r="C82" s="46">
        <f t="shared" ref="C82:C93" si="9">B82-B81</f>
        <v>28</v>
      </c>
      <c r="D82" s="48">
        <f t="shared" si="8"/>
        <v>2422.0818205307978</v>
      </c>
      <c r="E82" s="48">
        <f t="shared" ref="E82:E115" si="10">F82-D82</f>
        <v>3272.5388949072703</v>
      </c>
      <c r="F82" s="48">
        <f t="shared" si="7"/>
        <v>5694.6207154380681</v>
      </c>
      <c r="G82" s="48">
        <f t="shared" ref="G82:G127" si="11">G81-E82</f>
        <v>190918.78030714812</v>
      </c>
      <c r="H82" s="48"/>
      <c r="I82" s="48"/>
      <c r="J82" s="35"/>
      <c r="L82" s="37" t="s">
        <v>20</v>
      </c>
      <c r="M82" s="26">
        <v>16.259</v>
      </c>
    </row>
    <row r="83" spans="1:15">
      <c r="A83" s="27">
        <v>4</v>
      </c>
      <c r="B83" s="29">
        <v>40665</v>
      </c>
      <c r="C83" s="46">
        <f>B83-B82</f>
        <v>28</v>
      </c>
      <c r="D83" s="48">
        <f t="shared" si="8"/>
        <v>2381.2645636271182</v>
      </c>
      <c r="E83" s="48">
        <f t="shared" si="10"/>
        <v>3313.35615181095</v>
      </c>
      <c r="F83" s="48">
        <f t="shared" si="7"/>
        <v>5694.6207154380681</v>
      </c>
      <c r="G83" s="48">
        <f t="shared" si="11"/>
        <v>187605.42415533715</v>
      </c>
      <c r="H83" s="48"/>
      <c r="I83" s="48"/>
      <c r="J83" s="35"/>
      <c r="L83" s="37" t="s">
        <v>25</v>
      </c>
      <c r="M83" s="26">
        <f>M82/36500</f>
        <v>4.4545205479452058E-4</v>
      </c>
    </row>
    <row r="84" spans="1:15">
      <c r="A84" s="27">
        <v>5</v>
      </c>
      <c r="B84" s="29">
        <v>40700</v>
      </c>
      <c r="C84" s="46">
        <f>B84-B83</f>
        <v>35</v>
      </c>
      <c r="D84" s="48">
        <f t="shared" si="8"/>
        <v>2924.9227588207382</v>
      </c>
      <c r="E84" s="48">
        <f t="shared" si="10"/>
        <v>2769.69795661733</v>
      </c>
      <c r="F84" s="48">
        <f t="shared" si="7"/>
        <v>5694.6207154380681</v>
      </c>
      <c r="G84" s="48">
        <f t="shared" si="11"/>
        <v>184835.72619871981</v>
      </c>
      <c r="H84" s="48"/>
      <c r="I84" s="48"/>
      <c r="J84" s="35"/>
    </row>
    <row r="85" spans="1:15">
      <c r="A85" s="27">
        <v>6</v>
      </c>
      <c r="B85" s="29">
        <v>40728</v>
      </c>
      <c r="C85" s="46">
        <f>B85-B84</f>
        <v>28</v>
      </c>
      <c r="D85" s="48">
        <f t="shared" si="8"/>
        <v>2305.3927129704002</v>
      </c>
      <c r="E85" s="48">
        <f t="shared" si="10"/>
        <v>3389.2280024676679</v>
      </c>
      <c r="F85" s="48">
        <f t="shared" si="7"/>
        <v>5694.6207154380681</v>
      </c>
      <c r="G85" s="48">
        <f t="shared" si="11"/>
        <v>181446.49819625216</v>
      </c>
      <c r="H85" s="48"/>
      <c r="I85" s="48"/>
      <c r="J85" s="35"/>
    </row>
    <row r="86" spans="1:15">
      <c r="A86" s="27">
        <v>7</v>
      </c>
      <c r="B86" s="29">
        <v>40756</v>
      </c>
      <c r="C86" s="46">
        <f t="shared" si="9"/>
        <v>28</v>
      </c>
      <c r="D86" s="48">
        <f t="shared" si="8"/>
        <v>2263.120032790142</v>
      </c>
      <c r="E86" s="48">
        <f t="shared" si="10"/>
        <v>3431.5006826479262</v>
      </c>
      <c r="F86" s="48">
        <f t="shared" si="7"/>
        <v>5694.6207154380681</v>
      </c>
      <c r="G86" s="48">
        <f t="shared" si="11"/>
        <v>178014.99751360423</v>
      </c>
      <c r="H86" s="48"/>
      <c r="I86" s="48"/>
      <c r="J86" s="35"/>
    </row>
    <row r="87" spans="1:15">
      <c r="A87" s="27">
        <v>8</v>
      </c>
      <c r="B87" s="29">
        <v>40791</v>
      </c>
      <c r="C87" s="46">
        <f t="shared" si="9"/>
        <v>35</v>
      </c>
      <c r="D87" s="48">
        <f t="shared" si="8"/>
        <v>2775.4001249336766</v>
      </c>
      <c r="E87" s="48">
        <f t="shared" si="10"/>
        <v>2919.2205905043916</v>
      </c>
      <c r="F87" s="48">
        <f t="shared" si="7"/>
        <v>5694.6207154380681</v>
      </c>
      <c r="G87" s="48">
        <f t="shared" si="11"/>
        <v>175095.77692309985</v>
      </c>
      <c r="H87" s="48"/>
      <c r="I87" s="48"/>
      <c r="J87" s="35"/>
    </row>
    <row r="88" spans="1:15">
      <c r="A88" s="27">
        <v>9</v>
      </c>
      <c r="B88" s="29">
        <v>40819</v>
      </c>
      <c r="C88" s="46">
        <f t="shared" si="9"/>
        <v>28</v>
      </c>
      <c r="D88" s="48">
        <f t="shared" si="8"/>
        <v>2183.9096612546591</v>
      </c>
      <c r="E88" s="48">
        <f t="shared" si="10"/>
        <v>3510.711054183409</v>
      </c>
      <c r="F88" s="48">
        <f t="shared" si="7"/>
        <v>5694.6207154380681</v>
      </c>
      <c r="G88" s="48">
        <f t="shared" si="11"/>
        <v>171585.06586891646</v>
      </c>
      <c r="H88" s="48"/>
      <c r="I88" s="48"/>
      <c r="J88" s="35"/>
    </row>
    <row r="89" spans="1:15">
      <c r="A89" s="27">
        <v>10</v>
      </c>
      <c r="B89" s="29">
        <v>40854</v>
      </c>
      <c r="C89" s="46">
        <f t="shared" si="9"/>
        <v>35</v>
      </c>
      <c r="D89" s="48">
        <f t="shared" si="8"/>
        <v>2675.1522057176699</v>
      </c>
      <c r="E89" s="48">
        <f t="shared" si="10"/>
        <v>3019.4685097203983</v>
      </c>
      <c r="F89" s="48">
        <f t="shared" si="7"/>
        <v>5694.6207154380681</v>
      </c>
      <c r="G89" s="48">
        <f t="shared" si="11"/>
        <v>168565.59735919605</v>
      </c>
      <c r="H89" s="48"/>
      <c r="I89" s="48"/>
      <c r="J89" s="35"/>
    </row>
    <row r="90" spans="1:15">
      <c r="A90" s="27">
        <v>11</v>
      </c>
      <c r="B90" s="29">
        <v>40882</v>
      </c>
      <c r="C90" s="46">
        <f t="shared" si="9"/>
        <v>28</v>
      </c>
      <c r="D90" s="48">
        <f t="shared" si="8"/>
        <v>2102.4609679169516</v>
      </c>
      <c r="E90" s="48">
        <f t="shared" si="10"/>
        <v>3592.1597475211165</v>
      </c>
      <c r="F90" s="48">
        <f t="shared" si="7"/>
        <v>5694.6207154380681</v>
      </c>
      <c r="G90" s="48">
        <f t="shared" si="11"/>
        <v>164973.43761167495</v>
      </c>
      <c r="H90" s="48"/>
      <c r="I90" s="48"/>
      <c r="J90" s="35"/>
    </row>
    <row r="91" spans="1:15">
      <c r="A91" s="27">
        <v>12</v>
      </c>
      <c r="B91" s="29">
        <v>40910</v>
      </c>
      <c r="C91" s="46">
        <f t="shared" si="9"/>
        <v>28</v>
      </c>
      <c r="D91" s="48">
        <f t="shared" si="8"/>
        <v>2057.6571895778152</v>
      </c>
      <c r="E91" s="48">
        <f t="shared" si="10"/>
        <v>3636.963525860253</v>
      </c>
      <c r="F91" s="48">
        <f t="shared" si="7"/>
        <v>5694.6207154380681</v>
      </c>
      <c r="G91" s="48">
        <f t="shared" si="11"/>
        <v>161336.4740858147</v>
      </c>
      <c r="H91" s="48"/>
      <c r="I91" s="48"/>
      <c r="J91" s="35"/>
    </row>
    <row r="92" spans="1:15">
      <c r="A92" s="27">
        <v>13</v>
      </c>
      <c r="B92" s="29">
        <v>40945</v>
      </c>
      <c r="C92" s="46">
        <f t="shared" si="9"/>
        <v>35</v>
      </c>
      <c r="D92" s="48">
        <f t="shared" si="8"/>
        <v>2515.3682363190178</v>
      </c>
      <c r="E92" s="48">
        <f t="shared" si="10"/>
        <v>3179.2524791190503</v>
      </c>
      <c r="F92" s="48">
        <f t="shared" si="7"/>
        <v>5694.6207154380681</v>
      </c>
      <c r="G92" s="48">
        <f t="shared" si="11"/>
        <v>158157.22160669565</v>
      </c>
      <c r="H92" s="48"/>
      <c r="I92" s="48"/>
      <c r="J92" s="35"/>
    </row>
    <row r="93" spans="1:15">
      <c r="A93" s="27">
        <v>14</v>
      </c>
      <c r="B93" s="29">
        <v>40973</v>
      </c>
      <c r="C93" s="46">
        <f t="shared" si="9"/>
        <v>28</v>
      </c>
      <c r="D93" s="48">
        <f t="shared" si="8"/>
        <v>1972.6408616682579</v>
      </c>
      <c r="E93" s="48">
        <f t="shared" si="10"/>
        <v>3721.9798537698102</v>
      </c>
      <c r="F93" s="48">
        <f t="shared" si="7"/>
        <v>5694.6207154380681</v>
      </c>
      <c r="G93" s="48">
        <f t="shared" si="11"/>
        <v>154435.24175292582</v>
      </c>
      <c r="H93" s="48"/>
      <c r="I93" s="48"/>
      <c r="J93" s="35"/>
    </row>
    <row r="94" spans="1:15">
      <c r="A94" s="59">
        <v>15</v>
      </c>
      <c r="B94" s="60">
        <v>41001</v>
      </c>
      <c r="C94" s="61">
        <f>B94-B93</f>
        <v>28</v>
      </c>
      <c r="D94" s="48">
        <f t="shared" si="8"/>
        <v>1926.2178816028218</v>
      </c>
      <c r="E94" s="62">
        <f t="shared" si="10"/>
        <v>3768.4028338352464</v>
      </c>
      <c r="F94" s="48">
        <f t="shared" si="7"/>
        <v>5694.6207154380681</v>
      </c>
      <c r="G94" s="62">
        <f t="shared" si="11"/>
        <v>150666.83891909057</v>
      </c>
      <c r="H94" s="62"/>
      <c r="I94" s="62"/>
      <c r="J94" s="63"/>
    </row>
    <row r="95" spans="1:15" s="27" customFormat="1">
      <c r="A95" s="27">
        <v>16</v>
      </c>
      <c r="B95" s="29">
        <v>41036</v>
      </c>
      <c r="C95" s="46">
        <f t="shared" ref="C95:C127" si="12">B95-B94</f>
        <v>35</v>
      </c>
      <c r="D95" s="48">
        <f t="shared" si="8"/>
        <v>2349.0198545066378</v>
      </c>
      <c r="E95" s="48">
        <f t="shared" si="10"/>
        <v>3345.6008609314304</v>
      </c>
      <c r="F95" s="48">
        <f t="shared" si="7"/>
        <v>5694.6207154380681</v>
      </c>
      <c r="G95" s="48">
        <f t="shared" si="11"/>
        <v>147321.23805815913</v>
      </c>
      <c r="H95" s="49"/>
      <c r="I95" s="30"/>
    </row>
    <row r="96" spans="1:15" s="27" customFormat="1">
      <c r="A96" s="27">
        <v>17</v>
      </c>
      <c r="B96" s="29">
        <v>41064</v>
      </c>
      <c r="C96" s="46">
        <f t="shared" si="12"/>
        <v>28</v>
      </c>
      <c r="D96" s="48">
        <f t="shared" si="8"/>
        <v>1837.4873498206321</v>
      </c>
      <c r="E96" s="48">
        <f t="shared" si="10"/>
        <v>3857.1333656174361</v>
      </c>
      <c r="F96" s="48">
        <f t="shared" si="7"/>
        <v>5694.6207154380681</v>
      </c>
      <c r="G96" s="48">
        <f t="shared" si="11"/>
        <v>143464.1046925417</v>
      </c>
      <c r="H96" s="49"/>
      <c r="I96" s="30"/>
    </row>
    <row r="97" spans="1:10" s="27" customFormat="1">
      <c r="A97" s="27">
        <v>18</v>
      </c>
      <c r="B97" s="29">
        <v>41092</v>
      </c>
      <c r="C97" s="46">
        <f t="shared" si="12"/>
        <v>28</v>
      </c>
      <c r="D97" s="48">
        <f t="shared" si="8"/>
        <v>1789.37864628737</v>
      </c>
      <c r="E97" s="48">
        <f t="shared" si="10"/>
        <v>3905.2420691506982</v>
      </c>
      <c r="F97" s="48">
        <f t="shared" si="7"/>
        <v>5694.6207154380681</v>
      </c>
      <c r="G97" s="48">
        <f t="shared" si="11"/>
        <v>139558.862623391</v>
      </c>
      <c r="H97" s="49"/>
      <c r="I97" s="30"/>
    </row>
    <row r="98" spans="1:10" s="27" customFormat="1">
      <c r="A98" s="27">
        <v>19</v>
      </c>
      <c r="B98" s="29">
        <v>41127</v>
      </c>
      <c r="C98" s="46">
        <f t="shared" si="12"/>
        <v>35</v>
      </c>
      <c r="D98" s="48">
        <f t="shared" si="8"/>
        <v>2175.8373742131512</v>
      </c>
      <c r="E98" s="48">
        <f t="shared" si="10"/>
        <v>3518.783341224917</v>
      </c>
      <c r="F98" s="48">
        <f t="shared" si="7"/>
        <v>5694.6207154380681</v>
      </c>
      <c r="G98" s="48">
        <f t="shared" si="11"/>
        <v>136040.07928216609</v>
      </c>
      <c r="H98" s="49"/>
      <c r="I98" s="30"/>
    </row>
    <row r="99" spans="1:10" s="27" customFormat="1">
      <c r="A99" s="27">
        <v>20</v>
      </c>
      <c r="B99" s="29">
        <v>41155</v>
      </c>
      <c r="C99" s="46">
        <f t="shared" si="12"/>
        <v>28</v>
      </c>
      <c r="D99" s="48">
        <f t="shared" si="8"/>
        <v>1696.7813198182102</v>
      </c>
      <c r="E99" s="48">
        <f t="shared" si="10"/>
        <v>3997.8393956198579</v>
      </c>
      <c r="F99" s="48">
        <f t="shared" si="7"/>
        <v>5694.6207154380681</v>
      </c>
      <c r="G99" s="48">
        <f t="shared" si="11"/>
        <v>132042.23988654622</v>
      </c>
      <c r="H99" s="49"/>
      <c r="I99" s="30"/>
    </row>
    <row r="100" spans="1:10">
      <c r="A100" s="27">
        <v>21</v>
      </c>
      <c r="B100" s="29">
        <v>41183</v>
      </c>
      <c r="C100" s="46">
        <f t="shared" si="12"/>
        <v>28</v>
      </c>
      <c r="D100" s="48">
        <f t="shared" si="8"/>
        <v>1646.9176381597244</v>
      </c>
      <c r="E100" s="48">
        <f t="shared" si="10"/>
        <v>4047.7030772783437</v>
      </c>
      <c r="F100" s="48">
        <f t="shared" si="7"/>
        <v>5694.6207154380681</v>
      </c>
      <c r="G100" s="48">
        <f t="shared" si="11"/>
        <v>127994.53680926787</v>
      </c>
      <c r="H100" s="49"/>
      <c r="I100" s="30"/>
      <c r="J100" s="27"/>
    </row>
    <row r="101" spans="1:10">
      <c r="A101" s="27">
        <v>22</v>
      </c>
      <c r="B101" s="29">
        <v>41218</v>
      </c>
      <c r="C101" s="46">
        <f t="shared" si="12"/>
        <v>35</v>
      </c>
      <c r="D101" s="48">
        <f t="shared" si="8"/>
        <v>1995.5400298456443</v>
      </c>
      <c r="E101" s="48">
        <f t="shared" si="10"/>
        <v>3699.0806855924238</v>
      </c>
      <c r="F101" s="48">
        <f t="shared" si="7"/>
        <v>5694.6207154380681</v>
      </c>
      <c r="G101" s="48">
        <f t="shared" si="11"/>
        <v>124295.45612367545</v>
      </c>
      <c r="H101" s="49"/>
      <c r="I101" s="30"/>
      <c r="J101" s="27"/>
    </row>
    <row r="102" spans="1:10">
      <c r="A102" s="27">
        <v>23</v>
      </c>
      <c r="B102" s="29">
        <v>41246</v>
      </c>
      <c r="C102" s="46">
        <f t="shared" si="12"/>
        <v>28</v>
      </c>
      <c r="D102" s="48">
        <f t="shared" si="8"/>
        <v>1550.2946572935753</v>
      </c>
      <c r="E102" s="48">
        <f t="shared" si="10"/>
        <v>4144.3260581444929</v>
      </c>
      <c r="F102" s="48">
        <f t="shared" si="7"/>
        <v>5694.6207154380681</v>
      </c>
      <c r="G102" s="48">
        <f t="shared" si="11"/>
        <v>120151.13006553096</v>
      </c>
      <c r="H102" s="49"/>
      <c r="I102" s="30"/>
      <c r="J102" s="27"/>
    </row>
    <row r="103" spans="1:10">
      <c r="A103" s="27">
        <v>24</v>
      </c>
      <c r="B103" s="29">
        <v>41281</v>
      </c>
      <c r="C103" s="46">
        <f t="shared" si="12"/>
        <v>35</v>
      </c>
      <c r="D103" s="48">
        <f t="shared" si="8"/>
        <v>1873.2548720751063</v>
      </c>
      <c r="E103" s="48">
        <f t="shared" si="10"/>
        <v>3821.3658433629616</v>
      </c>
      <c r="F103" s="48">
        <f t="shared" si="7"/>
        <v>5694.6207154380681</v>
      </c>
      <c r="G103" s="48">
        <f t="shared" si="11"/>
        <v>116329.764222168</v>
      </c>
      <c r="H103" s="49"/>
      <c r="I103" s="30"/>
      <c r="J103" s="27"/>
    </row>
    <row r="104" spans="1:10">
      <c r="A104" s="27">
        <v>25</v>
      </c>
      <c r="B104" s="29">
        <v>41309</v>
      </c>
      <c r="C104" s="46">
        <f t="shared" si="12"/>
        <v>28</v>
      </c>
      <c r="D104" s="48">
        <f t="shared" si="8"/>
        <v>1450.9413101827515</v>
      </c>
      <c r="E104" s="48">
        <f t="shared" si="10"/>
        <v>4243.6794052553169</v>
      </c>
      <c r="F104" s="48">
        <f t="shared" si="7"/>
        <v>5694.6207154380681</v>
      </c>
      <c r="G104" s="48">
        <f t="shared" si="11"/>
        <v>112086.08481691268</v>
      </c>
      <c r="H104" s="49"/>
      <c r="I104" s="30"/>
      <c r="J104" s="27"/>
    </row>
    <row r="105" spans="1:10">
      <c r="A105" s="27">
        <v>26</v>
      </c>
      <c r="B105" s="29">
        <v>41337</v>
      </c>
      <c r="C105" s="46">
        <f t="shared" si="12"/>
        <v>28</v>
      </c>
      <c r="D105" s="48">
        <f t="shared" si="8"/>
        <v>1398.0113502758668</v>
      </c>
      <c r="E105" s="48">
        <f t="shared" si="10"/>
        <v>4296.6093651622014</v>
      </c>
      <c r="F105" s="48">
        <f t="shared" si="7"/>
        <v>5694.6207154380681</v>
      </c>
      <c r="G105" s="48">
        <f t="shared" si="11"/>
        <v>107789.47545175048</v>
      </c>
      <c r="H105" s="49"/>
      <c r="I105" s="30"/>
      <c r="J105" s="27"/>
    </row>
    <row r="106" spans="1:10">
      <c r="A106" s="27">
        <v>27</v>
      </c>
      <c r="B106" s="29">
        <v>41365</v>
      </c>
      <c r="C106" s="46">
        <f t="shared" si="12"/>
        <v>28</v>
      </c>
      <c r="D106" s="48">
        <f t="shared" si="8"/>
        <v>1344.421213105762</v>
      </c>
      <c r="E106" s="48">
        <f t="shared" si="10"/>
        <v>4350.1995023323061</v>
      </c>
      <c r="F106" s="48">
        <f t="shared" si="7"/>
        <v>5694.6207154380681</v>
      </c>
      <c r="G106" s="48">
        <f t="shared" si="11"/>
        <v>103439.27594941817</v>
      </c>
      <c r="H106" s="49"/>
      <c r="I106" s="30"/>
      <c r="J106" s="27"/>
    </row>
    <row r="107" spans="1:10">
      <c r="A107" s="27">
        <v>28</v>
      </c>
      <c r="B107" s="29">
        <v>41400</v>
      </c>
      <c r="C107" s="46">
        <f t="shared" si="12"/>
        <v>35</v>
      </c>
      <c r="D107" s="48">
        <f t="shared" si="8"/>
        <v>1612.7033306344015</v>
      </c>
      <c r="E107" s="48">
        <f t="shared" si="10"/>
        <v>4081.9173848036667</v>
      </c>
      <c r="F107" s="48">
        <f t="shared" si="7"/>
        <v>5694.6207154380681</v>
      </c>
      <c r="G107" s="48">
        <f t="shared" si="11"/>
        <v>99357.358564614493</v>
      </c>
      <c r="H107" s="49"/>
      <c r="I107" s="30"/>
      <c r="J107" s="27"/>
    </row>
    <row r="108" spans="1:10">
      <c r="A108" s="27">
        <v>29</v>
      </c>
      <c r="B108" s="29">
        <v>41428</v>
      </c>
      <c r="C108" s="46">
        <f t="shared" si="12"/>
        <v>28</v>
      </c>
      <c r="D108" s="48">
        <f t="shared" si="8"/>
        <v>1239.2503068837775</v>
      </c>
      <c r="E108" s="48">
        <f t="shared" si="10"/>
        <v>4455.3704085542904</v>
      </c>
      <c r="F108" s="48">
        <f t="shared" si="7"/>
        <v>5694.6207154380681</v>
      </c>
      <c r="G108" s="48">
        <f t="shared" si="11"/>
        <v>94901.988156060208</v>
      </c>
      <c r="H108" s="49"/>
      <c r="I108" s="30"/>
      <c r="J108" s="27"/>
    </row>
    <row r="109" spans="1:10">
      <c r="A109" s="27">
        <v>30</v>
      </c>
      <c r="B109" s="29">
        <v>41456</v>
      </c>
      <c r="C109" s="46">
        <f t="shared" si="12"/>
        <v>28</v>
      </c>
      <c r="D109" s="48">
        <f t="shared" si="8"/>
        <v>1183.6799975896638</v>
      </c>
      <c r="E109" s="48">
        <f t="shared" si="10"/>
        <v>4510.9407178484043</v>
      </c>
      <c r="F109" s="48">
        <f t="shared" si="7"/>
        <v>5694.6207154380681</v>
      </c>
      <c r="G109" s="48">
        <f t="shared" si="11"/>
        <v>90391.047438211797</v>
      </c>
      <c r="H109" s="49"/>
      <c r="I109" s="30"/>
      <c r="J109" s="27"/>
    </row>
    <row r="110" spans="1:10">
      <c r="A110" s="27">
        <v>31</v>
      </c>
      <c r="B110" s="29">
        <v>41491</v>
      </c>
      <c r="C110" s="46">
        <f t="shared" si="12"/>
        <v>35</v>
      </c>
      <c r="D110" s="48">
        <f t="shared" si="8"/>
        <v>1409.2707235733151</v>
      </c>
      <c r="E110" s="48">
        <f t="shared" si="10"/>
        <v>4285.3499918647531</v>
      </c>
      <c r="F110" s="48">
        <f t="shared" si="7"/>
        <v>5694.6207154380681</v>
      </c>
      <c r="G110" s="48">
        <f t="shared" si="11"/>
        <v>86105.69744634704</v>
      </c>
      <c r="H110" s="49"/>
      <c r="I110" s="30"/>
      <c r="J110" s="27"/>
    </row>
    <row r="111" spans="1:10">
      <c r="A111" s="27">
        <v>32</v>
      </c>
      <c r="B111" s="29">
        <v>41519</v>
      </c>
      <c r="C111" s="46">
        <f t="shared" si="12"/>
        <v>28</v>
      </c>
      <c r="D111" s="48">
        <f t="shared" si="8"/>
        <v>1073.9668759957367</v>
      </c>
      <c r="E111" s="48">
        <f t="shared" si="10"/>
        <v>4620.6538394423314</v>
      </c>
      <c r="F111" s="48">
        <f t="shared" si="7"/>
        <v>5694.6207154380681</v>
      </c>
      <c r="G111" s="48">
        <f t="shared" si="11"/>
        <v>81485.043606904714</v>
      </c>
      <c r="H111" s="49"/>
      <c r="I111" s="30"/>
      <c r="J111" s="27"/>
    </row>
    <row r="112" spans="1:10">
      <c r="A112" s="27">
        <v>33</v>
      </c>
      <c r="B112" s="29">
        <v>41554</v>
      </c>
      <c r="C112" s="46">
        <f t="shared" si="12"/>
        <v>35</v>
      </c>
      <c r="D112" s="48">
        <f t="shared" si="8"/>
        <v>1270.4188038400885</v>
      </c>
      <c r="E112" s="48">
        <f t="shared" si="10"/>
        <v>4424.2019115979801</v>
      </c>
      <c r="F112" s="48">
        <f t="shared" si="7"/>
        <v>5694.6207154380681</v>
      </c>
      <c r="G112" s="48">
        <f t="shared" si="11"/>
        <v>77060.841695306735</v>
      </c>
      <c r="H112" s="49"/>
      <c r="I112" s="30"/>
      <c r="J112" s="27"/>
    </row>
    <row r="113" spans="1:10">
      <c r="A113" s="27">
        <v>34</v>
      </c>
      <c r="B113" s="29">
        <v>41582</v>
      </c>
      <c r="C113" s="46">
        <f t="shared" si="12"/>
        <v>28</v>
      </c>
      <c r="D113" s="48">
        <f t="shared" si="8"/>
        <v>961.15348776635017</v>
      </c>
      <c r="E113" s="48">
        <f t="shared" si="10"/>
        <v>4733.4672276717183</v>
      </c>
      <c r="F113" s="48">
        <f t="shared" si="7"/>
        <v>5694.6207154380681</v>
      </c>
      <c r="G113" s="48">
        <f t="shared" si="11"/>
        <v>72327.374467635018</v>
      </c>
      <c r="H113" s="49"/>
      <c r="I113" s="30"/>
      <c r="J113" s="27"/>
    </row>
    <row r="114" spans="1:10">
      <c r="A114" s="27">
        <v>35</v>
      </c>
      <c r="B114" s="29">
        <v>41610</v>
      </c>
      <c r="C114" s="46">
        <f t="shared" si="12"/>
        <v>28</v>
      </c>
      <c r="D114" s="48">
        <f t="shared" si="8"/>
        <v>902.11457208602133</v>
      </c>
      <c r="E114" s="48">
        <f t="shared" si="10"/>
        <v>4792.5061433520468</v>
      </c>
      <c r="F114" s="48">
        <f t="shared" si="7"/>
        <v>5694.6207154380681</v>
      </c>
      <c r="G114" s="48">
        <f t="shared" si="11"/>
        <v>67534.868324282972</v>
      </c>
      <c r="H114" s="49"/>
      <c r="I114" s="30"/>
      <c r="J114" s="27"/>
    </row>
    <row r="115" spans="1:10">
      <c r="A115" s="27">
        <v>36</v>
      </c>
      <c r="B115" s="29">
        <v>41645</v>
      </c>
      <c r="C115" s="46">
        <f t="shared" si="12"/>
        <v>35</v>
      </c>
      <c r="D115" s="48">
        <f t="shared" si="8"/>
        <v>1052.9241052865232</v>
      </c>
      <c r="E115" s="48">
        <f t="shared" si="10"/>
        <v>4641.6966101515445</v>
      </c>
      <c r="F115" s="48">
        <f t="shared" si="7"/>
        <v>5694.6207154380681</v>
      </c>
      <c r="G115" s="48">
        <f t="shared" si="11"/>
        <v>62893.171714131429</v>
      </c>
      <c r="H115" s="49"/>
      <c r="I115" s="30"/>
      <c r="J115" s="27"/>
    </row>
    <row r="116" spans="1:10">
      <c r="A116" s="27">
        <v>37</v>
      </c>
      <c r="B116" s="29">
        <v>41673</v>
      </c>
      <c r="C116" s="46">
        <f t="shared" si="12"/>
        <v>28</v>
      </c>
      <c r="D116" s="48">
        <f t="shared" ref="D116:D127" si="13">$M$83*G115*C116</f>
        <v>784.44499203292503</v>
      </c>
      <c r="E116" s="48">
        <f t="shared" ref="E116:E127" si="14">F116-D116</f>
        <v>4910.1757234051429</v>
      </c>
      <c r="F116" s="48">
        <f t="shared" si="7"/>
        <v>5694.6207154380681</v>
      </c>
      <c r="G116" s="48">
        <f t="shared" si="11"/>
        <v>57982.995990726289</v>
      </c>
      <c r="H116" s="49"/>
      <c r="I116" s="30"/>
      <c r="J116" s="27"/>
    </row>
    <row r="117" spans="1:10">
      <c r="A117" s="27">
        <v>38</v>
      </c>
      <c r="B117" s="29">
        <v>41701</v>
      </c>
      <c r="C117" s="46">
        <f t="shared" si="12"/>
        <v>28</v>
      </c>
      <c r="D117" s="48">
        <f t="shared" si="13"/>
        <v>723.20205180192124</v>
      </c>
      <c r="E117" s="48">
        <f t="shared" si="14"/>
        <v>4971.4186636361464</v>
      </c>
      <c r="F117" s="48">
        <f t="shared" si="7"/>
        <v>5694.6207154380681</v>
      </c>
      <c r="G117" s="48">
        <f t="shared" si="11"/>
        <v>53011.577327090141</v>
      </c>
      <c r="H117" s="49"/>
      <c r="I117" s="30"/>
      <c r="J117" s="27"/>
    </row>
    <row r="118" spans="1:10">
      <c r="A118" s="27">
        <v>39</v>
      </c>
      <c r="B118" s="29">
        <v>41736</v>
      </c>
      <c r="C118" s="46">
        <f t="shared" si="12"/>
        <v>35</v>
      </c>
      <c r="D118" s="48">
        <f t="shared" si="13"/>
        <v>826.49406168878227</v>
      </c>
      <c r="E118" s="48">
        <f t="shared" si="14"/>
        <v>4868.1266537492857</v>
      </c>
      <c r="F118" s="48">
        <f t="shared" si="7"/>
        <v>5694.6207154380681</v>
      </c>
      <c r="G118" s="48">
        <f t="shared" si="11"/>
        <v>48143.450673340856</v>
      </c>
      <c r="H118" s="49"/>
      <c r="I118" s="30"/>
      <c r="J118" s="27"/>
    </row>
    <row r="119" spans="1:10">
      <c r="A119" s="27">
        <v>40</v>
      </c>
      <c r="B119" s="29">
        <v>41764</v>
      </c>
      <c r="C119" s="46">
        <f t="shared" si="12"/>
        <v>28</v>
      </c>
      <c r="D119" s="48">
        <f t="shared" si="13"/>
        <v>600.47677276547324</v>
      </c>
      <c r="E119" s="48">
        <f t="shared" si="14"/>
        <v>5094.1439426725947</v>
      </c>
      <c r="F119" s="48">
        <f t="shared" si="7"/>
        <v>5694.6207154380681</v>
      </c>
      <c r="G119" s="48">
        <f t="shared" si="11"/>
        <v>43049.306730668264</v>
      </c>
      <c r="H119" s="49"/>
      <c r="I119" s="30"/>
      <c r="J119" s="27"/>
    </row>
    <row r="120" spans="1:10">
      <c r="A120" s="27">
        <v>41</v>
      </c>
      <c r="B120" s="29">
        <v>41792</v>
      </c>
      <c r="C120" s="46">
        <f t="shared" si="12"/>
        <v>28</v>
      </c>
      <c r="D120" s="48">
        <f t="shared" si="13"/>
        <v>536.93925993836137</v>
      </c>
      <c r="E120" s="48">
        <f t="shared" si="14"/>
        <v>5157.6814554997072</v>
      </c>
      <c r="F120" s="48">
        <f t="shared" si="7"/>
        <v>5694.6207154380681</v>
      </c>
      <c r="G120" s="48">
        <f t="shared" si="11"/>
        <v>37891.625275168553</v>
      </c>
      <c r="H120" s="49"/>
      <c r="I120" s="30"/>
      <c r="J120" s="27"/>
    </row>
    <row r="121" spans="1:10">
      <c r="A121" s="27">
        <v>42</v>
      </c>
      <c r="B121" s="29">
        <v>41827</v>
      </c>
      <c r="C121" s="46">
        <f t="shared" si="12"/>
        <v>35</v>
      </c>
      <c r="D121" s="48">
        <f t="shared" si="13"/>
        <v>590.7615818414738</v>
      </c>
      <c r="E121" s="48">
        <f t="shared" si="14"/>
        <v>5103.8591335965939</v>
      </c>
      <c r="F121" s="48">
        <f t="shared" si="7"/>
        <v>5694.6207154380681</v>
      </c>
      <c r="G121" s="48">
        <f t="shared" si="11"/>
        <v>32787.766141571963</v>
      </c>
      <c r="H121" s="49"/>
      <c r="I121" s="30"/>
      <c r="J121" s="27"/>
    </row>
    <row r="122" spans="1:10">
      <c r="A122" s="27">
        <v>43</v>
      </c>
      <c r="B122" s="29">
        <v>41855</v>
      </c>
      <c r="C122" s="46">
        <f t="shared" si="12"/>
        <v>28</v>
      </c>
      <c r="D122" s="48">
        <f t="shared" si="13"/>
        <v>408.95057839679231</v>
      </c>
      <c r="E122" s="48">
        <f t="shared" si="14"/>
        <v>5285.6701370412757</v>
      </c>
      <c r="F122" s="48">
        <f t="shared" si="7"/>
        <v>5694.6207154380681</v>
      </c>
      <c r="G122" s="48">
        <f t="shared" si="11"/>
        <v>27502.096004530686</v>
      </c>
      <c r="H122" s="49"/>
      <c r="I122" s="30"/>
      <c r="J122" s="27"/>
    </row>
    <row r="123" spans="1:10">
      <c r="A123" s="27">
        <v>44</v>
      </c>
      <c r="B123" s="29">
        <v>41883</v>
      </c>
      <c r="C123" s="46">
        <f t="shared" si="12"/>
        <v>28</v>
      </c>
      <c r="D123" s="48">
        <f t="shared" si="13"/>
        <v>343.02422493848235</v>
      </c>
      <c r="E123" s="48">
        <f t="shared" si="14"/>
        <v>5351.5964904995853</v>
      </c>
      <c r="F123" s="48">
        <f t="shared" si="7"/>
        <v>5694.6207154380681</v>
      </c>
      <c r="G123" s="48">
        <f t="shared" si="11"/>
        <v>22150.4995140311</v>
      </c>
      <c r="H123" s="49"/>
      <c r="I123" s="30"/>
      <c r="J123" s="27"/>
    </row>
    <row r="124" spans="1:10">
      <c r="A124" s="27">
        <v>45</v>
      </c>
      <c r="B124" s="29">
        <v>41918</v>
      </c>
      <c r="C124" s="46">
        <f t="shared" si="12"/>
        <v>35</v>
      </c>
      <c r="D124" s="48">
        <f t="shared" si="13"/>
        <v>345.3444933137564</v>
      </c>
      <c r="E124" s="48">
        <f t="shared" si="14"/>
        <v>5349.276222124312</v>
      </c>
      <c r="F124" s="48">
        <f t="shared" si="7"/>
        <v>5694.6207154380681</v>
      </c>
      <c r="G124" s="48">
        <f t="shared" si="11"/>
        <v>16801.22329190679</v>
      </c>
      <c r="H124" s="49"/>
      <c r="I124" s="30"/>
      <c r="J124" s="27"/>
    </row>
    <row r="125" spans="1:10">
      <c r="A125" s="27">
        <v>46</v>
      </c>
      <c r="B125" s="29">
        <v>41946</v>
      </c>
      <c r="C125" s="46">
        <f t="shared" si="12"/>
        <v>28</v>
      </c>
      <c r="D125" s="48">
        <f t="shared" si="13"/>
        <v>209.55590427636028</v>
      </c>
      <c r="E125" s="48">
        <f t="shared" si="14"/>
        <v>5485.0648111617074</v>
      </c>
      <c r="F125" s="48">
        <f t="shared" si="7"/>
        <v>5694.6207154380681</v>
      </c>
      <c r="G125" s="48">
        <f t="shared" si="11"/>
        <v>11316.158480745082</v>
      </c>
      <c r="H125" s="49"/>
      <c r="I125" s="30"/>
      <c r="J125" s="27"/>
    </row>
    <row r="126" spans="1:10">
      <c r="A126" s="27">
        <v>47</v>
      </c>
      <c r="B126" s="29">
        <v>41974</v>
      </c>
      <c r="C126" s="46">
        <f t="shared" si="12"/>
        <v>28</v>
      </c>
      <c r="D126" s="48">
        <f t="shared" si="13"/>
        <v>141.14256933359343</v>
      </c>
      <c r="E126" s="48">
        <f t="shared" si="14"/>
        <v>5553.4781461044749</v>
      </c>
      <c r="F126" s="48">
        <f t="shared" si="7"/>
        <v>5694.6207154380681</v>
      </c>
      <c r="G126" s="48">
        <f t="shared" si="11"/>
        <v>5762.6803346406068</v>
      </c>
      <c r="H126" s="49"/>
      <c r="I126" s="30"/>
      <c r="J126" s="27"/>
    </row>
    <row r="127" spans="1:10">
      <c r="A127" s="27">
        <v>48</v>
      </c>
      <c r="B127" s="29">
        <v>42009</v>
      </c>
      <c r="C127" s="46">
        <f t="shared" si="12"/>
        <v>35</v>
      </c>
      <c r="D127" s="48">
        <f t="shared" si="13"/>
        <v>89.844922866637191</v>
      </c>
      <c r="E127" s="48">
        <f t="shared" si="14"/>
        <v>5763.1550771333632</v>
      </c>
      <c r="F127" s="48">
        <v>5853</v>
      </c>
      <c r="G127" s="48">
        <f t="shared" si="11"/>
        <v>-0.47474249275637703</v>
      </c>
      <c r="H127" s="49">
        <f>F127+G127</f>
        <v>5852.5252575072436</v>
      </c>
      <c r="I127" s="30"/>
      <c r="J127" s="27"/>
    </row>
    <row r="128" spans="1:10" s="27" customFormat="1">
      <c r="B128" s="29"/>
      <c r="C128" s="46"/>
      <c r="D128" s="48"/>
      <c r="E128" s="48"/>
      <c r="F128" s="48"/>
      <c r="G128" s="48"/>
      <c r="H128" s="49"/>
      <c r="I128" s="30"/>
    </row>
    <row r="129" spans="1:15">
      <c r="A129" s="27"/>
      <c r="B129" s="32" t="s">
        <v>5</v>
      </c>
      <c r="C129" s="57">
        <f>SUM(C80:C127)</f>
        <v>1463</v>
      </c>
      <c r="D129" s="57">
        <f>SUM(D80:D127)</f>
        <v>73499.698883096455</v>
      </c>
      <c r="E129" s="58">
        <f>SUM(E80:E127)</f>
        <v>200000.47474249278</v>
      </c>
      <c r="F129" s="57">
        <f>SUM(F80:F127)</f>
        <v>273500.17362558923</v>
      </c>
      <c r="G129" s="48"/>
      <c r="H129" s="33"/>
      <c r="I129" s="27"/>
      <c r="J129" s="27"/>
    </row>
    <row r="130" spans="1:15" s="2" customFormat="1">
      <c r="A130" s="64"/>
      <c r="B130" s="64"/>
      <c r="C130" s="65"/>
      <c r="D130" s="66"/>
      <c r="E130" s="66"/>
      <c r="F130" s="66"/>
      <c r="G130" s="66"/>
      <c r="H130" s="66"/>
      <c r="I130" s="67"/>
      <c r="J130" s="68"/>
    </row>
    <row r="132" spans="1:15">
      <c r="B132" s="2" t="s">
        <v>27</v>
      </c>
      <c r="D132" s="1"/>
    </row>
    <row r="133" spans="1:15">
      <c r="B133" s="2"/>
      <c r="D133" s="1"/>
      <c r="H133" s="25"/>
    </row>
    <row r="134" spans="1:15">
      <c r="B134" t="s">
        <v>6</v>
      </c>
      <c r="C134" s="4">
        <f>B2</f>
        <v>200000</v>
      </c>
      <c r="D134" s="1"/>
    </row>
    <row r="135" spans="1:15">
      <c r="B135" t="s">
        <v>16</v>
      </c>
      <c r="C135" s="4">
        <v>48</v>
      </c>
      <c r="D135" s="1"/>
    </row>
    <row r="136" spans="1:15">
      <c r="B136" s="24" t="s">
        <v>12</v>
      </c>
      <c r="C136" s="40">
        <v>40609</v>
      </c>
      <c r="D136" s="1"/>
    </row>
    <row r="137" spans="1:15">
      <c r="C137" s="21"/>
      <c r="D137" s="1"/>
    </row>
    <row r="138" spans="1:15">
      <c r="C138" s="3"/>
      <c r="D138" s="1"/>
      <c r="G138" t="s">
        <v>14</v>
      </c>
    </row>
    <row r="139" spans="1:15">
      <c r="A139" s="32" t="s">
        <v>13</v>
      </c>
      <c r="B139" s="32" t="s">
        <v>9</v>
      </c>
      <c r="C139" s="41" t="s">
        <v>11</v>
      </c>
      <c r="D139" s="54" t="s">
        <v>2</v>
      </c>
      <c r="E139" s="41" t="s">
        <v>3</v>
      </c>
      <c r="F139" s="41" t="s">
        <v>22</v>
      </c>
      <c r="G139" s="42">
        <f>B2</f>
        <v>200000</v>
      </c>
      <c r="H139" s="55" t="s">
        <v>26</v>
      </c>
      <c r="I139" s="44"/>
      <c r="J139" s="45"/>
      <c r="L139" s="36" t="s">
        <v>17</v>
      </c>
      <c r="M139" s="26">
        <f>M142/100/12</f>
        <v>1.3616166666666667E-2</v>
      </c>
      <c r="N139" t="s">
        <v>23</v>
      </c>
    </row>
    <row r="140" spans="1:15">
      <c r="A140" s="27">
        <v>1</v>
      </c>
      <c r="B140" s="29">
        <v>40637</v>
      </c>
      <c r="C140" s="46">
        <f>B140-C136</f>
        <v>28</v>
      </c>
      <c r="D140" s="48">
        <f>$M$143*G139*C140</f>
        <v>2506.8668493150685</v>
      </c>
      <c r="E140" s="48">
        <f>F140-D140</f>
        <v>3196.0144114675172</v>
      </c>
      <c r="F140" s="48">
        <f t="shared" ref="F140:F186" si="15">$O$141</f>
        <v>5702.8812607825857</v>
      </c>
      <c r="G140" s="48">
        <f>G139-E140</f>
        <v>196803.98558853249</v>
      </c>
      <c r="H140" s="48"/>
      <c r="I140" s="48"/>
      <c r="J140" s="35"/>
      <c r="L140" s="37" t="s">
        <v>18</v>
      </c>
      <c r="M140" s="26">
        <v>200000</v>
      </c>
    </row>
    <row r="141" spans="1:15">
      <c r="A141" s="27">
        <v>2</v>
      </c>
      <c r="B141" s="29">
        <v>40665</v>
      </c>
      <c r="C141" s="46">
        <f t="shared" ref="C141:C187" si="16">B141-B140</f>
        <v>28</v>
      </c>
      <c r="D141" s="48">
        <f t="shared" ref="D141:D187" si="17">$M$143*G140*C141</f>
        <v>2466.8069364248636</v>
      </c>
      <c r="E141" s="48">
        <f>F141-D141</f>
        <v>3236.0743243577222</v>
      </c>
      <c r="F141" s="48">
        <f t="shared" si="15"/>
        <v>5702.8812607825857</v>
      </c>
      <c r="G141" s="48">
        <f>G140-E141</f>
        <v>193567.91126417476</v>
      </c>
      <c r="H141" s="48"/>
      <c r="I141" s="48"/>
      <c r="J141" s="35"/>
      <c r="L141" s="37" t="s">
        <v>19</v>
      </c>
      <c r="M141" s="26">
        <v>48</v>
      </c>
      <c r="N141" t="s">
        <v>24</v>
      </c>
      <c r="O141" s="24">
        <f>(M139*M140)/(1-(1+M139)^-M141)</f>
        <v>5702.8812607825857</v>
      </c>
    </row>
    <row r="142" spans="1:15">
      <c r="A142" s="27">
        <v>3</v>
      </c>
      <c r="B142" s="29">
        <v>40700</v>
      </c>
      <c r="C142" s="46">
        <f t="shared" si="16"/>
        <v>35</v>
      </c>
      <c r="D142" s="48">
        <f t="shared" si="17"/>
        <v>3032.8061239957538</v>
      </c>
      <c r="E142" s="48">
        <f t="shared" ref="E142:E187" si="18">F142-D142</f>
        <v>2670.075136786832</v>
      </c>
      <c r="F142" s="48">
        <f t="shared" si="15"/>
        <v>5702.8812607825857</v>
      </c>
      <c r="G142" s="48">
        <f t="shared" ref="G142:G187" si="19">G141-E142</f>
        <v>190897.83612738794</v>
      </c>
      <c r="H142" s="48"/>
      <c r="I142" s="48"/>
      <c r="J142" s="35"/>
      <c r="L142" s="37" t="s">
        <v>20</v>
      </c>
      <c r="M142" s="26">
        <v>16.339400000000001</v>
      </c>
    </row>
    <row r="143" spans="1:15">
      <c r="A143" s="27">
        <v>4</v>
      </c>
      <c r="B143" s="29">
        <v>40728</v>
      </c>
      <c r="C143" s="46">
        <f t="shared" si="16"/>
        <v>28</v>
      </c>
      <c r="D143" s="48">
        <f t="shared" si="17"/>
        <v>2392.7772849686467</v>
      </c>
      <c r="E143" s="48">
        <f t="shared" si="18"/>
        <v>3310.1039758139391</v>
      </c>
      <c r="F143" s="48">
        <f t="shared" si="15"/>
        <v>5702.8812607825857</v>
      </c>
      <c r="G143" s="48">
        <f t="shared" si="19"/>
        <v>187587.73215157399</v>
      </c>
      <c r="H143" s="48"/>
      <c r="I143" s="48"/>
      <c r="J143" s="35"/>
      <c r="L143" s="37" t="s">
        <v>25</v>
      </c>
      <c r="M143" s="26">
        <f>M142/36500</f>
        <v>4.4765479452054801E-4</v>
      </c>
    </row>
    <row r="144" spans="1:15">
      <c r="A144" s="27">
        <v>5</v>
      </c>
      <c r="B144" s="29">
        <v>40756</v>
      </c>
      <c r="C144" s="46">
        <f t="shared" si="16"/>
        <v>28</v>
      </c>
      <c r="D144" s="48">
        <f t="shared" si="17"/>
        <v>2351.2873353448767</v>
      </c>
      <c r="E144" s="48">
        <f t="shared" si="18"/>
        <v>3351.593925437709</v>
      </c>
      <c r="F144" s="48">
        <f t="shared" si="15"/>
        <v>5702.8812607825857</v>
      </c>
      <c r="G144" s="48">
        <f t="shared" si="19"/>
        <v>184236.13822613627</v>
      </c>
      <c r="H144" s="48"/>
      <c r="I144" s="48"/>
      <c r="J144" s="35"/>
    </row>
    <row r="145" spans="1:10">
      <c r="A145" s="27">
        <v>6</v>
      </c>
      <c r="B145" s="29">
        <v>40791</v>
      </c>
      <c r="C145" s="46">
        <f t="shared" si="16"/>
        <v>35</v>
      </c>
      <c r="D145" s="48">
        <f t="shared" si="17"/>
        <v>2886.5966710308112</v>
      </c>
      <c r="E145" s="48">
        <f t="shared" si="18"/>
        <v>2816.2845897517745</v>
      </c>
      <c r="F145" s="48">
        <f t="shared" si="15"/>
        <v>5702.8812607825857</v>
      </c>
      <c r="G145" s="48">
        <f t="shared" si="19"/>
        <v>181419.85363638451</v>
      </c>
      <c r="H145" s="48"/>
      <c r="I145" s="48"/>
      <c r="J145" s="35"/>
    </row>
    <row r="146" spans="1:10">
      <c r="A146" s="27">
        <v>7</v>
      </c>
      <c r="B146" s="29">
        <v>40819</v>
      </c>
      <c r="C146" s="46">
        <f t="shared" si="16"/>
        <v>28</v>
      </c>
      <c r="D146" s="48">
        <f t="shared" si="17"/>
        <v>2273.977084443221</v>
      </c>
      <c r="E146" s="48">
        <f t="shared" si="18"/>
        <v>3428.9041763393648</v>
      </c>
      <c r="F146" s="48">
        <f t="shared" si="15"/>
        <v>5702.8812607825857</v>
      </c>
      <c r="G146" s="48">
        <f t="shared" si="19"/>
        <v>177990.94946004514</v>
      </c>
      <c r="H146" s="48"/>
      <c r="I146" s="48"/>
      <c r="J146" s="35"/>
    </row>
    <row r="147" spans="1:10">
      <c r="A147" s="27">
        <v>8</v>
      </c>
      <c r="B147" s="29">
        <v>40854</v>
      </c>
      <c r="C147" s="46">
        <f t="shared" si="16"/>
        <v>35</v>
      </c>
      <c r="D147" s="48">
        <f t="shared" si="17"/>
        <v>2788.7475667468816</v>
      </c>
      <c r="E147" s="48">
        <f t="shared" si="18"/>
        <v>2914.1336940357041</v>
      </c>
      <c r="F147" s="48">
        <f t="shared" si="15"/>
        <v>5702.8812607825857</v>
      </c>
      <c r="G147" s="48">
        <f t="shared" si="19"/>
        <v>175076.81576600944</v>
      </c>
      <c r="H147" s="48"/>
      <c r="I147" s="48"/>
      <c r="J147" s="35"/>
    </row>
    <row r="148" spans="1:10">
      <c r="A148" s="27">
        <v>9</v>
      </c>
      <c r="B148" s="29">
        <v>40882</v>
      </c>
      <c r="C148" s="46">
        <f t="shared" si="16"/>
        <v>28</v>
      </c>
      <c r="D148" s="48">
        <f t="shared" si="17"/>
        <v>2194.4713276372545</v>
      </c>
      <c r="E148" s="48">
        <f t="shared" si="18"/>
        <v>3508.4099331453313</v>
      </c>
      <c r="F148" s="48">
        <f t="shared" si="15"/>
        <v>5702.8812607825857</v>
      </c>
      <c r="G148" s="48">
        <f t="shared" si="19"/>
        <v>171568.40583286411</v>
      </c>
      <c r="H148" s="48"/>
      <c r="I148" s="48"/>
      <c r="J148" s="35"/>
    </row>
    <row r="149" spans="1:10">
      <c r="A149" s="27">
        <v>10</v>
      </c>
      <c r="B149" s="29">
        <v>40910</v>
      </c>
      <c r="C149" s="46">
        <f t="shared" si="16"/>
        <v>28</v>
      </c>
      <c r="D149" s="48">
        <f t="shared" si="17"/>
        <v>2150.4957448612058</v>
      </c>
      <c r="E149" s="48">
        <f t="shared" si="18"/>
        <v>3552.3855159213799</v>
      </c>
      <c r="F149" s="48">
        <f t="shared" si="15"/>
        <v>5702.8812607825857</v>
      </c>
      <c r="G149" s="48">
        <f t="shared" si="19"/>
        <v>168016.02031694274</v>
      </c>
      <c r="H149" s="48"/>
      <c r="I149" s="48"/>
      <c r="J149" s="35"/>
    </row>
    <row r="150" spans="1:10">
      <c r="A150" s="27">
        <v>11</v>
      </c>
      <c r="B150" s="29">
        <v>40945</v>
      </c>
      <c r="C150" s="46">
        <f t="shared" si="16"/>
        <v>35</v>
      </c>
      <c r="D150" s="48">
        <f t="shared" si="17"/>
        <v>2632.4611967899427</v>
      </c>
      <c r="E150" s="48">
        <f t="shared" si="18"/>
        <v>3070.420063992643</v>
      </c>
      <c r="F150" s="48">
        <f t="shared" si="15"/>
        <v>5702.8812607825857</v>
      </c>
      <c r="G150" s="48">
        <f t="shared" si="19"/>
        <v>164945.6002529501</v>
      </c>
      <c r="H150" s="48"/>
      <c r="I150" s="48"/>
      <c r="J150" s="35"/>
    </row>
    <row r="151" spans="1:10">
      <c r="A151" s="27">
        <v>12</v>
      </c>
      <c r="B151" s="29">
        <v>40973</v>
      </c>
      <c r="C151" s="46">
        <f t="shared" si="16"/>
        <v>28</v>
      </c>
      <c r="D151" s="48">
        <f t="shared" si="17"/>
        <v>2067.4832860724791</v>
      </c>
      <c r="E151" s="48">
        <f t="shared" si="18"/>
        <v>3635.3979747101066</v>
      </c>
      <c r="F151" s="48">
        <f t="shared" si="15"/>
        <v>5702.8812607825857</v>
      </c>
      <c r="G151" s="48">
        <f t="shared" si="19"/>
        <v>161310.20227824</v>
      </c>
      <c r="H151" s="48"/>
      <c r="I151" s="48"/>
      <c r="J151" s="35"/>
    </row>
    <row r="152" spans="1:10">
      <c r="A152" s="27">
        <v>13</v>
      </c>
      <c r="B152" s="29">
        <v>41001</v>
      </c>
      <c r="C152" s="46">
        <f t="shared" si="16"/>
        <v>28</v>
      </c>
      <c r="D152" s="48">
        <f t="shared" si="17"/>
        <v>2021.9159927381397</v>
      </c>
      <c r="E152" s="48">
        <f t="shared" si="18"/>
        <v>3680.965268044446</v>
      </c>
      <c r="F152" s="48">
        <f t="shared" si="15"/>
        <v>5702.8812607825857</v>
      </c>
      <c r="G152" s="48">
        <f t="shared" si="19"/>
        <v>157629.23701019556</v>
      </c>
      <c r="H152" s="48"/>
      <c r="I152" s="48"/>
      <c r="J152" s="35"/>
    </row>
    <row r="153" spans="1:10">
      <c r="A153" s="27">
        <v>14</v>
      </c>
      <c r="B153" s="29">
        <v>41036</v>
      </c>
      <c r="C153" s="46">
        <f t="shared" si="16"/>
        <v>35</v>
      </c>
      <c r="D153" s="48">
        <f t="shared" si="17"/>
        <v>2469.7219296480448</v>
      </c>
      <c r="E153" s="48">
        <f t="shared" si="18"/>
        <v>3233.1593311345409</v>
      </c>
      <c r="F153" s="48">
        <f t="shared" si="15"/>
        <v>5702.8812607825857</v>
      </c>
      <c r="G153" s="48">
        <f t="shared" si="19"/>
        <v>154396.07767906101</v>
      </c>
      <c r="H153" s="48"/>
      <c r="I153" s="48"/>
      <c r="J153" s="35"/>
    </row>
    <row r="154" spans="1:10">
      <c r="A154" s="27">
        <v>15</v>
      </c>
      <c r="B154" s="29">
        <v>41064</v>
      </c>
      <c r="C154" s="46">
        <f t="shared" si="16"/>
        <v>28</v>
      </c>
      <c r="D154" s="48">
        <f t="shared" si="17"/>
        <v>1935.2520439895616</v>
      </c>
      <c r="E154" s="48">
        <f t="shared" si="18"/>
        <v>3767.6292167930242</v>
      </c>
      <c r="F154" s="48">
        <f t="shared" si="15"/>
        <v>5702.8812607825857</v>
      </c>
      <c r="G154" s="48">
        <f t="shared" si="19"/>
        <v>150628.44846226799</v>
      </c>
      <c r="H154" s="48"/>
      <c r="I154" s="48"/>
      <c r="J154" s="35"/>
    </row>
    <row r="155" spans="1:10">
      <c r="A155" s="27">
        <v>16</v>
      </c>
      <c r="B155" s="29">
        <v>41092</v>
      </c>
      <c r="C155" s="46">
        <f t="shared" si="16"/>
        <v>28</v>
      </c>
      <c r="D155" s="48">
        <f t="shared" si="17"/>
        <v>1888.0273200691149</v>
      </c>
      <c r="E155" s="48">
        <f t="shared" si="18"/>
        <v>3814.8539407134708</v>
      </c>
      <c r="F155" s="48">
        <f t="shared" si="15"/>
        <v>5702.8812607825857</v>
      </c>
      <c r="G155" s="48">
        <f t="shared" si="19"/>
        <v>146813.59452155451</v>
      </c>
      <c r="H155" s="49"/>
      <c r="I155" s="30"/>
      <c r="J155" s="27"/>
    </row>
    <row r="156" spans="1:10">
      <c r="A156" s="27">
        <v>17</v>
      </c>
      <c r="B156" s="29">
        <v>41127</v>
      </c>
      <c r="C156" s="46">
        <f t="shared" si="16"/>
        <v>35</v>
      </c>
      <c r="D156" s="48">
        <f t="shared" si="17"/>
        <v>2300.2633320929335</v>
      </c>
      <c r="E156" s="48">
        <f t="shared" si="18"/>
        <v>3402.6179286896522</v>
      </c>
      <c r="F156" s="48">
        <f t="shared" si="15"/>
        <v>5702.8812607825857</v>
      </c>
      <c r="G156" s="48">
        <f t="shared" si="19"/>
        <v>143410.97659286484</v>
      </c>
      <c r="H156" s="49"/>
      <c r="I156" s="30"/>
      <c r="J156" s="27"/>
    </row>
    <row r="157" spans="1:10">
      <c r="A157" s="27">
        <v>18</v>
      </c>
      <c r="B157" s="29">
        <v>41155</v>
      </c>
      <c r="C157" s="46">
        <f t="shared" si="16"/>
        <v>28</v>
      </c>
      <c r="D157" s="48">
        <f t="shared" si="17"/>
        <v>1797.5611152427607</v>
      </c>
      <c r="E157" s="48">
        <f t="shared" si="18"/>
        <v>3905.3201455398248</v>
      </c>
      <c r="F157" s="48">
        <f t="shared" si="15"/>
        <v>5702.8812607825857</v>
      </c>
      <c r="G157" s="48">
        <f t="shared" si="19"/>
        <v>139505.65644732502</v>
      </c>
      <c r="H157" s="49"/>
      <c r="I157" s="30"/>
      <c r="J157" s="27"/>
    </row>
    <row r="158" spans="1:10">
      <c r="A158" s="27">
        <v>19</v>
      </c>
      <c r="B158" s="29">
        <v>41183</v>
      </c>
      <c r="C158" s="46">
        <f t="shared" si="16"/>
        <v>28</v>
      </c>
      <c r="D158" s="48">
        <f t="shared" si="17"/>
        <v>1748.6105271986805</v>
      </c>
      <c r="E158" s="48">
        <f t="shared" si="18"/>
        <v>3954.270733583905</v>
      </c>
      <c r="F158" s="48">
        <f t="shared" si="15"/>
        <v>5702.8812607825857</v>
      </c>
      <c r="G158" s="48">
        <f t="shared" si="19"/>
        <v>135551.38571374113</v>
      </c>
      <c r="H158" s="49"/>
      <c r="I158" s="30"/>
      <c r="J158" s="27"/>
    </row>
    <row r="159" spans="1:10">
      <c r="A159" s="27">
        <v>20</v>
      </c>
      <c r="B159" s="29">
        <v>41218</v>
      </c>
      <c r="C159" s="46">
        <f t="shared" si="16"/>
        <v>35</v>
      </c>
      <c r="D159" s="48">
        <f t="shared" si="17"/>
        <v>2123.8079701531115</v>
      </c>
      <c r="E159" s="48">
        <f t="shared" si="18"/>
        <v>3579.0732906294743</v>
      </c>
      <c r="F159" s="48">
        <f t="shared" si="15"/>
        <v>5702.8812607825857</v>
      </c>
      <c r="G159" s="48">
        <f t="shared" si="19"/>
        <v>131972.31242311164</v>
      </c>
      <c r="H159" s="49"/>
      <c r="I159" s="30"/>
      <c r="J159" s="27"/>
    </row>
    <row r="160" spans="1:10">
      <c r="A160" s="27">
        <v>21</v>
      </c>
      <c r="B160" s="29">
        <v>41246</v>
      </c>
      <c r="C160" s="46">
        <f t="shared" si="16"/>
        <v>28</v>
      </c>
      <c r="D160" s="48">
        <f t="shared" si="17"/>
        <v>1654.185075204749</v>
      </c>
      <c r="E160" s="48">
        <f t="shared" si="18"/>
        <v>4048.6961855778368</v>
      </c>
      <c r="F160" s="48">
        <f t="shared" si="15"/>
        <v>5702.8812607825857</v>
      </c>
      <c r="G160" s="48">
        <f t="shared" si="19"/>
        <v>127923.6162375338</v>
      </c>
      <c r="H160" s="49"/>
      <c r="I160" s="30"/>
      <c r="J160" s="27"/>
    </row>
    <row r="161" spans="1:10">
      <c r="A161" s="27">
        <v>22</v>
      </c>
      <c r="B161" s="29">
        <v>41281</v>
      </c>
      <c r="C161" s="46">
        <f t="shared" si="16"/>
        <v>35</v>
      </c>
      <c r="D161" s="48">
        <f t="shared" si="17"/>
        <v>2004.2967049398521</v>
      </c>
      <c r="E161" s="48">
        <f t="shared" si="18"/>
        <v>3698.5845558427336</v>
      </c>
      <c r="F161" s="48">
        <f t="shared" si="15"/>
        <v>5702.8812607825857</v>
      </c>
      <c r="G161" s="48">
        <f t="shared" si="19"/>
        <v>124225.03168169106</v>
      </c>
      <c r="H161" s="49"/>
      <c r="I161" s="30"/>
      <c r="J161" s="27"/>
    </row>
    <row r="162" spans="1:10">
      <c r="A162" s="27">
        <v>23</v>
      </c>
      <c r="B162" s="29">
        <v>41309</v>
      </c>
      <c r="C162" s="46">
        <f t="shared" si="16"/>
        <v>28</v>
      </c>
      <c r="D162" s="48">
        <f t="shared" si="17"/>
        <v>1557.0780688897273</v>
      </c>
      <c r="E162" s="48">
        <f t="shared" si="18"/>
        <v>4145.8031918928582</v>
      </c>
      <c r="F162" s="48">
        <f t="shared" si="15"/>
        <v>5702.8812607825857</v>
      </c>
      <c r="G162" s="48">
        <f t="shared" si="19"/>
        <v>120079.2284897982</v>
      </c>
      <c r="H162" s="49"/>
      <c r="I162" s="30"/>
      <c r="J162" s="27"/>
    </row>
    <row r="163" spans="1:10">
      <c r="A163" s="27">
        <v>24</v>
      </c>
      <c r="B163" s="29">
        <v>41337</v>
      </c>
      <c r="C163" s="46">
        <f t="shared" si="16"/>
        <v>28</v>
      </c>
      <c r="D163" s="48">
        <f t="shared" si="17"/>
        <v>1505.1131859620232</v>
      </c>
      <c r="E163" s="48">
        <f t="shared" si="18"/>
        <v>4197.7680748205621</v>
      </c>
      <c r="F163" s="48">
        <f t="shared" si="15"/>
        <v>5702.8812607825857</v>
      </c>
      <c r="G163" s="48">
        <f t="shared" si="19"/>
        <v>115881.46041497764</v>
      </c>
      <c r="H163" s="49"/>
      <c r="I163" s="30"/>
      <c r="J163" s="27"/>
    </row>
    <row r="164" spans="1:10">
      <c r="A164" s="27">
        <v>25</v>
      </c>
      <c r="B164" s="29">
        <v>41365</v>
      </c>
      <c r="C164" s="46">
        <f t="shared" si="16"/>
        <v>28</v>
      </c>
      <c r="D164" s="48">
        <f t="shared" si="17"/>
        <v>1452.4969578226194</v>
      </c>
      <c r="E164" s="48">
        <f t="shared" si="18"/>
        <v>4250.3843029599666</v>
      </c>
      <c r="F164" s="48">
        <f t="shared" si="15"/>
        <v>5702.8812607825857</v>
      </c>
      <c r="G164" s="48">
        <f t="shared" si="19"/>
        <v>111631.07611201768</v>
      </c>
      <c r="H164" s="49"/>
      <c r="I164" s="30"/>
      <c r="J164" s="27"/>
    </row>
    <row r="165" spans="1:10">
      <c r="A165" s="27">
        <v>26</v>
      </c>
      <c r="B165" s="29">
        <v>41400</v>
      </c>
      <c r="C165" s="46">
        <f t="shared" si="16"/>
        <v>35</v>
      </c>
      <c r="D165" s="48">
        <f t="shared" si="17"/>
        <v>1749.0265253661523</v>
      </c>
      <c r="E165" s="48">
        <f t="shared" si="18"/>
        <v>3953.8547354164334</v>
      </c>
      <c r="F165" s="48">
        <f t="shared" si="15"/>
        <v>5702.8812607825857</v>
      </c>
      <c r="G165" s="48">
        <f t="shared" si="19"/>
        <v>107677.22137660124</v>
      </c>
      <c r="H165" s="49"/>
      <c r="I165" s="30"/>
      <c r="J165" s="27"/>
    </row>
    <row r="166" spans="1:10">
      <c r="A166" s="27">
        <v>27</v>
      </c>
      <c r="B166" s="29">
        <v>41428</v>
      </c>
      <c r="C166" s="46">
        <f t="shared" si="16"/>
        <v>28</v>
      </c>
      <c r="D166" s="48">
        <f t="shared" si="17"/>
        <v>1349.6622834768077</v>
      </c>
      <c r="E166" s="48">
        <f t="shared" si="18"/>
        <v>4353.218977305778</v>
      </c>
      <c r="F166" s="48">
        <f t="shared" si="15"/>
        <v>5702.8812607825857</v>
      </c>
      <c r="G166" s="48">
        <f t="shared" si="19"/>
        <v>103324.00239929547</v>
      </c>
      <c r="H166" s="49"/>
      <c r="I166" s="30"/>
      <c r="J166" s="27"/>
    </row>
    <row r="167" spans="1:10">
      <c r="A167" s="27">
        <v>28</v>
      </c>
      <c r="B167" s="29">
        <v>41456</v>
      </c>
      <c r="C167" s="46">
        <f t="shared" si="16"/>
        <v>28</v>
      </c>
      <c r="D167" s="48">
        <f t="shared" si="17"/>
        <v>1295.0975817667222</v>
      </c>
      <c r="E167" s="48">
        <f t="shared" si="18"/>
        <v>4407.7836790158635</v>
      </c>
      <c r="F167" s="48">
        <f t="shared" si="15"/>
        <v>5702.8812607825857</v>
      </c>
      <c r="G167" s="48">
        <f t="shared" si="19"/>
        <v>98916.218720279605</v>
      </c>
      <c r="H167" s="49"/>
      <c r="I167" s="30"/>
      <c r="J167" s="27"/>
    </row>
    <row r="168" spans="1:10">
      <c r="A168" s="27">
        <v>29</v>
      </c>
      <c r="B168" s="29">
        <v>41491</v>
      </c>
      <c r="C168" s="46">
        <f t="shared" si="16"/>
        <v>35</v>
      </c>
      <c r="D168" s="48">
        <f t="shared" si="17"/>
        <v>1549.8111848091721</v>
      </c>
      <c r="E168" s="48">
        <f t="shared" si="18"/>
        <v>4153.0700759734136</v>
      </c>
      <c r="F168" s="48">
        <f t="shared" si="15"/>
        <v>5702.8812607825857</v>
      </c>
      <c r="G168" s="48">
        <f t="shared" si="19"/>
        <v>94763.148644306188</v>
      </c>
      <c r="H168" s="49"/>
      <c r="I168" s="30"/>
      <c r="J168" s="27"/>
    </row>
    <row r="169" spans="1:10">
      <c r="A169" s="27">
        <v>30</v>
      </c>
      <c r="B169" s="29">
        <v>41519</v>
      </c>
      <c r="C169" s="46">
        <f t="shared" si="16"/>
        <v>28</v>
      </c>
      <c r="D169" s="48">
        <f t="shared" si="17"/>
        <v>1187.7929793656369</v>
      </c>
      <c r="E169" s="48">
        <f t="shared" si="18"/>
        <v>4515.088281416949</v>
      </c>
      <c r="F169" s="48">
        <f t="shared" si="15"/>
        <v>5702.8812607825857</v>
      </c>
      <c r="G169" s="48">
        <f t="shared" si="19"/>
        <v>90248.060362889242</v>
      </c>
      <c r="H169" s="49"/>
      <c r="I169" s="30"/>
      <c r="J169" s="27"/>
    </row>
    <row r="170" spans="1:10">
      <c r="A170" s="27">
        <v>31</v>
      </c>
      <c r="B170" s="29">
        <v>41554</v>
      </c>
      <c r="C170" s="46">
        <f t="shared" si="16"/>
        <v>35</v>
      </c>
      <c r="D170" s="48">
        <f t="shared" si="17"/>
        <v>1413.9991921169519</v>
      </c>
      <c r="E170" s="48">
        <f t="shared" si="18"/>
        <v>4288.8820686656336</v>
      </c>
      <c r="F170" s="48">
        <f t="shared" si="15"/>
        <v>5702.8812607825857</v>
      </c>
      <c r="G170" s="48">
        <f t="shared" si="19"/>
        <v>85959.178294223602</v>
      </c>
      <c r="H170" s="49"/>
      <c r="I170" s="30"/>
      <c r="J170" s="27"/>
    </row>
    <row r="171" spans="1:10">
      <c r="A171" s="27">
        <v>32</v>
      </c>
      <c r="B171" s="29">
        <v>41582</v>
      </c>
      <c r="C171" s="46">
        <f t="shared" si="16"/>
        <v>28</v>
      </c>
      <c r="D171" s="48">
        <f t="shared" si="17"/>
        <v>1077.4410723007629</v>
      </c>
      <c r="E171" s="48">
        <f t="shared" si="18"/>
        <v>4625.4401884818226</v>
      </c>
      <c r="F171" s="48">
        <f t="shared" si="15"/>
        <v>5702.8812607825857</v>
      </c>
      <c r="G171" s="48">
        <f t="shared" si="19"/>
        <v>81333.738105741781</v>
      </c>
      <c r="H171" s="49"/>
      <c r="I171" s="30"/>
      <c r="J171" s="27"/>
    </row>
    <row r="172" spans="1:10">
      <c r="A172" s="27">
        <v>33</v>
      </c>
      <c r="B172" s="29">
        <v>41610</v>
      </c>
      <c r="C172" s="46">
        <f t="shared" si="16"/>
        <v>28</v>
      </c>
      <c r="D172" s="48">
        <f t="shared" si="17"/>
        <v>1019.4642589407893</v>
      </c>
      <c r="E172" s="48">
        <f t="shared" si="18"/>
        <v>4683.4170018417963</v>
      </c>
      <c r="F172" s="48">
        <f t="shared" si="15"/>
        <v>5702.8812607825857</v>
      </c>
      <c r="G172" s="48">
        <f t="shared" si="19"/>
        <v>76650.321103899987</v>
      </c>
      <c r="H172" s="49"/>
      <c r="I172" s="30"/>
      <c r="J172" s="27"/>
    </row>
    <row r="173" spans="1:10">
      <c r="A173" s="27">
        <v>34</v>
      </c>
      <c r="B173" s="29">
        <v>41645</v>
      </c>
      <c r="C173" s="46">
        <f t="shared" si="16"/>
        <v>35</v>
      </c>
      <c r="D173" s="48">
        <f t="shared" si="17"/>
        <v>1200.9509310295132</v>
      </c>
      <c r="E173" s="48">
        <f t="shared" si="18"/>
        <v>4501.9303297530723</v>
      </c>
      <c r="F173" s="48">
        <f t="shared" si="15"/>
        <v>5702.8812607825857</v>
      </c>
      <c r="G173" s="48">
        <f t="shared" si="19"/>
        <v>72148.390774146916</v>
      </c>
      <c r="H173" s="49"/>
      <c r="I173" s="30"/>
      <c r="J173" s="27"/>
    </row>
    <row r="174" spans="1:10">
      <c r="A174" s="27">
        <v>35</v>
      </c>
      <c r="B174" s="29">
        <v>41673</v>
      </c>
      <c r="C174" s="46">
        <f t="shared" si="16"/>
        <v>28</v>
      </c>
      <c r="D174" s="48">
        <f t="shared" si="17"/>
        <v>904.33204531569027</v>
      </c>
      <c r="E174" s="48">
        <f t="shared" si="18"/>
        <v>4798.5492154668955</v>
      </c>
      <c r="F174" s="48">
        <f t="shared" si="15"/>
        <v>5702.8812607825857</v>
      </c>
      <c r="G174" s="48">
        <f t="shared" si="19"/>
        <v>67349.841558680026</v>
      </c>
      <c r="H174" s="49"/>
      <c r="I174" s="30"/>
      <c r="J174" s="27"/>
    </row>
    <row r="175" spans="1:10">
      <c r="A175" s="27">
        <v>36</v>
      </c>
      <c r="B175" s="29">
        <v>41701</v>
      </c>
      <c r="C175" s="46">
        <f t="shared" si="16"/>
        <v>28</v>
      </c>
      <c r="D175" s="48">
        <f t="shared" si="17"/>
        <v>844.18542555038641</v>
      </c>
      <c r="E175" s="48">
        <f t="shared" si="18"/>
        <v>4858.695835232199</v>
      </c>
      <c r="F175" s="48">
        <f t="shared" si="15"/>
        <v>5702.8812607825857</v>
      </c>
      <c r="G175" s="48">
        <f t="shared" si="19"/>
        <v>62491.145723447829</v>
      </c>
      <c r="H175" s="49"/>
      <c r="I175" s="30"/>
      <c r="J175" s="27"/>
    </row>
    <row r="176" spans="1:10">
      <c r="A176" s="27">
        <v>37</v>
      </c>
      <c r="B176" s="29">
        <v>41736</v>
      </c>
      <c r="C176" s="46">
        <f t="shared" si="16"/>
        <v>35</v>
      </c>
      <c r="D176" s="48">
        <f t="shared" si="17"/>
        <v>979.10613493642802</v>
      </c>
      <c r="E176" s="48">
        <f t="shared" si="18"/>
        <v>4723.7751258461576</v>
      </c>
      <c r="F176" s="48">
        <f t="shared" si="15"/>
        <v>5702.8812607825857</v>
      </c>
      <c r="G176" s="48">
        <f t="shared" si="19"/>
        <v>57767.370597601672</v>
      </c>
      <c r="H176" s="49"/>
      <c r="I176" s="30"/>
      <c r="J176" s="27"/>
    </row>
    <row r="177" spans="1:10">
      <c r="A177" s="27">
        <v>38</v>
      </c>
      <c r="B177" s="29">
        <v>41764</v>
      </c>
      <c r="C177" s="46">
        <f t="shared" si="16"/>
        <v>28</v>
      </c>
      <c r="D177" s="48">
        <f t="shared" si="17"/>
        <v>724.07553161612827</v>
      </c>
      <c r="E177" s="48">
        <f t="shared" si="18"/>
        <v>4978.8057291664572</v>
      </c>
      <c r="F177" s="48">
        <f t="shared" si="15"/>
        <v>5702.8812607825857</v>
      </c>
      <c r="G177" s="48">
        <f t="shared" si="19"/>
        <v>52788.564868435213</v>
      </c>
      <c r="H177" s="49"/>
      <c r="I177" s="30"/>
      <c r="J177" s="27"/>
    </row>
    <row r="178" spans="1:10">
      <c r="A178" s="27">
        <v>39</v>
      </c>
      <c r="B178" s="29">
        <v>41792</v>
      </c>
      <c r="C178" s="46">
        <f t="shared" si="16"/>
        <v>28</v>
      </c>
      <c r="D178" s="48">
        <f t="shared" si="17"/>
        <v>661.66951645799156</v>
      </c>
      <c r="E178" s="48">
        <f t="shared" si="18"/>
        <v>5041.2117443245943</v>
      </c>
      <c r="F178" s="48">
        <f t="shared" si="15"/>
        <v>5702.8812607825857</v>
      </c>
      <c r="G178" s="48">
        <f t="shared" si="19"/>
        <v>47747.353124110618</v>
      </c>
      <c r="H178" s="49"/>
      <c r="I178" s="30"/>
      <c r="J178" s="27"/>
    </row>
    <row r="179" spans="1:10">
      <c r="A179" s="27">
        <v>40</v>
      </c>
      <c r="B179" s="29">
        <v>41827</v>
      </c>
      <c r="C179" s="46">
        <f t="shared" si="16"/>
        <v>35</v>
      </c>
      <c r="D179" s="48">
        <f t="shared" si="17"/>
        <v>748.10160430858241</v>
      </c>
      <c r="E179" s="48">
        <f t="shared" si="18"/>
        <v>4954.7796564740038</v>
      </c>
      <c r="F179" s="48">
        <f t="shared" si="15"/>
        <v>5702.8812607825857</v>
      </c>
      <c r="G179" s="48">
        <f t="shared" si="19"/>
        <v>42792.573467636612</v>
      </c>
      <c r="H179" s="49"/>
      <c r="I179" s="30"/>
      <c r="J179" s="27"/>
    </row>
    <row r="180" spans="1:10">
      <c r="A180" s="27">
        <v>41</v>
      </c>
      <c r="B180" s="29">
        <v>41855</v>
      </c>
      <c r="C180" s="46">
        <f t="shared" si="16"/>
        <v>28</v>
      </c>
      <c r="D180" s="48">
        <f t="shared" si="17"/>
        <v>536.37641911448907</v>
      </c>
      <c r="E180" s="48">
        <f t="shared" si="18"/>
        <v>5166.5048416680966</v>
      </c>
      <c r="F180" s="48">
        <f t="shared" si="15"/>
        <v>5702.8812607825857</v>
      </c>
      <c r="G180" s="48">
        <f t="shared" si="19"/>
        <v>37626.068625968517</v>
      </c>
      <c r="H180" s="49"/>
      <c r="I180" s="30"/>
      <c r="J180" s="27"/>
    </row>
    <row r="181" spans="1:10">
      <c r="A181" s="27">
        <v>42</v>
      </c>
      <c r="B181" s="29">
        <v>41883</v>
      </c>
      <c r="C181" s="46">
        <f t="shared" si="16"/>
        <v>28</v>
      </c>
      <c r="D181" s="48">
        <f t="shared" si="17"/>
        <v>471.61772054247126</v>
      </c>
      <c r="E181" s="48">
        <f t="shared" si="18"/>
        <v>5231.2635402401147</v>
      </c>
      <c r="F181" s="48">
        <f t="shared" si="15"/>
        <v>5702.8812607825857</v>
      </c>
      <c r="G181" s="48">
        <f t="shared" si="19"/>
        <v>32394.805085728403</v>
      </c>
      <c r="H181" s="49"/>
      <c r="I181" s="30"/>
      <c r="J181" s="27"/>
    </row>
    <row r="182" spans="1:10">
      <c r="A182" s="27">
        <v>43</v>
      </c>
      <c r="B182" s="29">
        <v>41918</v>
      </c>
      <c r="C182" s="46">
        <f t="shared" si="16"/>
        <v>35</v>
      </c>
      <c r="D182" s="48">
        <f t="shared" si="17"/>
        <v>507.55914349647327</v>
      </c>
      <c r="E182" s="48">
        <f t="shared" si="18"/>
        <v>5195.3221172861122</v>
      </c>
      <c r="F182" s="48">
        <f t="shared" si="15"/>
        <v>5702.8812607825857</v>
      </c>
      <c r="G182" s="48">
        <f t="shared" si="19"/>
        <v>27199.482968442291</v>
      </c>
      <c r="H182" s="49"/>
      <c r="I182" s="30"/>
      <c r="J182" s="27"/>
    </row>
    <row r="183" spans="1:10">
      <c r="A183" s="27">
        <v>44</v>
      </c>
      <c r="B183" s="29">
        <v>41946</v>
      </c>
      <c r="C183" s="46">
        <f t="shared" si="16"/>
        <v>28</v>
      </c>
      <c r="D183" s="48">
        <f t="shared" si="17"/>
        <v>340.92741086048903</v>
      </c>
      <c r="E183" s="48">
        <f t="shared" si="18"/>
        <v>5361.9538499220971</v>
      </c>
      <c r="F183" s="48">
        <f t="shared" si="15"/>
        <v>5702.8812607825857</v>
      </c>
      <c r="G183" s="48">
        <f t="shared" si="19"/>
        <v>21837.529118520193</v>
      </c>
      <c r="H183" s="49"/>
      <c r="I183" s="30"/>
      <c r="J183" s="27"/>
    </row>
    <row r="184" spans="1:10">
      <c r="A184" s="27">
        <v>45</v>
      </c>
      <c r="B184" s="29">
        <v>41974</v>
      </c>
      <c r="C184" s="46">
        <f t="shared" si="16"/>
        <v>28</v>
      </c>
      <c r="D184" s="48">
        <f t="shared" si="17"/>
        <v>273.71888909085396</v>
      </c>
      <c r="E184" s="48">
        <f t="shared" si="18"/>
        <v>5429.162371691732</v>
      </c>
      <c r="F184" s="48">
        <f t="shared" si="15"/>
        <v>5702.8812607825857</v>
      </c>
      <c r="G184" s="48">
        <f t="shared" si="19"/>
        <v>16408.366746828462</v>
      </c>
      <c r="H184" s="49"/>
      <c r="I184" s="30"/>
      <c r="J184" s="27"/>
    </row>
    <row r="185" spans="1:10">
      <c r="A185" s="27">
        <v>46</v>
      </c>
      <c r="B185" s="29">
        <v>42009</v>
      </c>
      <c r="C185" s="46">
        <f t="shared" si="16"/>
        <v>35</v>
      </c>
      <c r="D185" s="48">
        <f t="shared" si="17"/>
        <v>257.08494155642506</v>
      </c>
      <c r="E185" s="48">
        <f t="shared" si="18"/>
        <v>5445.7963192261604</v>
      </c>
      <c r="F185" s="48">
        <f t="shared" si="15"/>
        <v>5702.8812607825857</v>
      </c>
      <c r="G185" s="48">
        <f t="shared" si="19"/>
        <v>10962.570427602303</v>
      </c>
      <c r="H185" s="49"/>
      <c r="I185" s="30"/>
      <c r="J185" s="27"/>
    </row>
    <row r="186" spans="1:10">
      <c r="A186" s="27">
        <v>47</v>
      </c>
      <c r="B186" s="29">
        <v>42037</v>
      </c>
      <c r="C186" s="46">
        <f t="shared" si="16"/>
        <v>28</v>
      </c>
      <c r="D186" s="48">
        <f t="shared" si="17"/>
        <v>137.40852194118966</v>
      </c>
      <c r="E186" s="48">
        <f t="shared" si="18"/>
        <v>5565.4727388413958</v>
      </c>
      <c r="F186" s="48">
        <f t="shared" si="15"/>
        <v>5702.8812607825857</v>
      </c>
      <c r="G186" s="48">
        <f t="shared" si="19"/>
        <v>5397.0976887609067</v>
      </c>
      <c r="H186" s="49"/>
      <c r="I186" s="30"/>
      <c r="J186" s="27"/>
    </row>
    <row r="187" spans="1:10">
      <c r="A187" s="27">
        <v>48</v>
      </c>
      <c r="B187" s="29">
        <v>42065</v>
      </c>
      <c r="C187" s="46">
        <f t="shared" si="16"/>
        <v>28</v>
      </c>
      <c r="D187" s="48">
        <f t="shared" si="17"/>
        <v>67.649026392348475</v>
      </c>
      <c r="E187" s="48">
        <f t="shared" si="18"/>
        <v>5397.3509736076512</v>
      </c>
      <c r="F187" s="48">
        <v>5465</v>
      </c>
      <c r="G187" s="48">
        <f t="shared" si="19"/>
        <v>-0.25328484674446372</v>
      </c>
      <c r="H187" s="49">
        <f>F187+G187</f>
        <v>5464.7467151532555</v>
      </c>
      <c r="I187" s="30"/>
      <c r="J187" s="27"/>
    </row>
    <row r="188" spans="1:10">
      <c r="A188" s="27"/>
      <c r="B188" s="29"/>
      <c r="C188" s="46"/>
      <c r="D188" s="47"/>
      <c r="E188" s="48"/>
      <c r="F188" s="48"/>
      <c r="G188" s="48"/>
      <c r="H188" s="49"/>
      <c r="I188" s="30"/>
      <c r="J188" s="27"/>
    </row>
    <row r="189" spans="1:10">
      <c r="A189" s="27"/>
      <c r="B189" s="32" t="s">
        <v>5</v>
      </c>
      <c r="C189" s="57">
        <f>SUM(C140:C187)</f>
        <v>1456</v>
      </c>
      <c r="D189" s="57">
        <f>SUM(D140:D187)</f>
        <v>73500.165971934766</v>
      </c>
      <c r="E189" s="58">
        <f>SUM(E140:E187)</f>
        <v>200000.25328484678</v>
      </c>
      <c r="F189" s="57">
        <f>SUM(F140:F187)</f>
        <v>273500.41925678175</v>
      </c>
      <c r="G189" s="48"/>
      <c r="H189" s="33"/>
      <c r="I189" s="27"/>
      <c r="J189" s="27"/>
    </row>
    <row r="190" spans="1:10" s="2" customFormat="1">
      <c r="A190" s="32"/>
      <c r="B190" s="32"/>
      <c r="C190" s="50"/>
      <c r="D190" s="53"/>
      <c r="E190" s="53"/>
      <c r="F190" s="53"/>
      <c r="G190" s="53"/>
      <c r="H190" s="53"/>
      <c r="I190" s="27"/>
      <c r="J190" s="35"/>
    </row>
    <row r="194" spans="1:15">
      <c r="B194" s="2" t="s">
        <v>34</v>
      </c>
      <c r="D194" s="1"/>
    </row>
    <row r="195" spans="1:15">
      <c r="B195" s="2"/>
      <c r="D195" s="1"/>
      <c r="H195" s="25"/>
    </row>
    <row r="196" spans="1:15">
      <c r="B196" t="s">
        <v>6</v>
      </c>
      <c r="C196" s="4">
        <f>B2</f>
        <v>200000</v>
      </c>
      <c r="D196" s="1"/>
    </row>
    <row r="197" spans="1:15">
      <c r="B197" t="s">
        <v>16</v>
      </c>
      <c r="C197" s="4">
        <v>48</v>
      </c>
      <c r="D197" s="1"/>
    </row>
    <row r="198" spans="1:15">
      <c r="B198" s="24" t="s">
        <v>12</v>
      </c>
      <c r="C198" s="40">
        <v>40728</v>
      </c>
      <c r="D198" s="1"/>
    </row>
    <row r="199" spans="1:15">
      <c r="C199" s="21"/>
      <c r="D199" s="1"/>
    </row>
    <row r="200" spans="1:15">
      <c r="C200" s="3"/>
      <c r="D200" s="1"/>
      <c r="G200" t="s">
        <v>14</v>
      </c>
    </row>
    <row r="201" spans="1:15">
      <c r="A201" s="32" t="s">
        <v>13</v>
      </c>
      <c r="B201" s="32" t="s">
        <v>9</v>
      </c>
      <c r="C201" s="41" t="s">
        <v>11</v>
      </c>
      <c r="D201" s="54" t="s">
        <v>2</v>
      </c>
      <c r="E201" s="41" t="s">
        <v>3</v>
      </c>
      <c r="F201" s="41" t="s">
        <v>22</v>
      </c>
      <c r="G201" s="42">
        <f>B2</f>
        <v>200000</v>
      </c>
      <c r="H201" s="55" t="s">
        <v>26</v>
      </c>
      <c r="I201" s="44"/>
      <c r="J201" s="45"/>
      <c r="L201" s="36" t="s">
        <v>17</v>
      </c>
      <c r="M201" s="26">
        <f>M204/100/12</f>
        <v>1.353625E-2</v>
      </c>
      <c r="N201" t="s">
        <v>23</v>
      </c>
    </row>
    <row r="202" spans="1:15">
      <c r="A202" s="27">
        <v>1</v>
      </c>
      <c r="B202" s="29">
        <v>40756</v>
      </c>
      <c r="C202" s="46">
        <f>B202-C198</f>
        <v>28</v>
      </c>
      <c r="D202" s="48">
        <f>$M$205*G201*C202</f>
        <v>2492.1534246575343</v>
      </c>
      <c r="E202" s="48">
        <f>F202-D202</f>
        <v>3200.8755486232262</v>
      </c>
      <c r="F202" s="48">
        <f>$O$203</f>
        <v>5693.0289732807605</v>
      </c>
      <c r="G202" s="48">
        <f>G201-E202</f>
        <v>196799.12445137676</v>
      </c>
      <c r="H202" s="48"/>
      <c r="I202" s="48"/>
      <c r="J202" s="35"/>
      <c r="L202" s="37" t="s">
        <v>18</v>
      </c>
      <c r="M202" s="26">
        <v>200000</v>
      </c>
    </row>
    <row r="203" spans="1:15">
      <c r="A203" s="27">
        <v>2</v>
      </c>
      <c r="B203" s="29">
        <v>40791</v>
      </c>
      <c r="C203" s="46">
        <f t="shared" ref="C203:C249" si="20">B203-B202</f>
        <v>35</v>
      </c>
      <c r="D203" s="48">
        <f t="shared" ref="D203:D249" si="21">$M$205*G202*C203</f>
        <v>3065.3350748193934</v>
      </c>
      <c r="E203" s="48">
        <f>F203-D203</f>
        <v>2627.6938984613671</v>
      </c>
      <c r="F203" s="48">
        <f t="shared" ref="F203:F248" si="22">$O$203</f>
        <v>5693.0289732807605</v>
      </c>
      <c r="G203" s="48">
        <f>G202-E203</f>
        <v>194171.43055291538</v>
      </c>
      <c r="H203" s="48"/>
      <c r="I203" s="48"/>
      <c r="J203" s="35"/>
      <c r="L203" s="37" t="s">
        <v>19</v>
      </c>
      <c r="M203" s="26">
        <v>48</v>
      </c>
      <c r="N203" t="s">
        <v>24</v>
      </c>
      <c r="O203" s="24">
        <f>(M201*M202)/(1-(1+M201)^-M203)</f>
        <v>5693.0289732807605</v>
      </c>
    </row>
    <row r="204" spans="1:15">
      <c r="A204" s="27">
        <v>3</v>
      </c>
      <c r="B204" s="29">
        <v>40819</v>
      </c>
      <c r="C204" s="46">
        <f t="shared" si="20"/>
        <v>28</v>
      </c>
      <c r="D204" s="48">
        <f t="shared" si="21"/>
        <v>2419.5249781155035</v>
      </c>
      <c r="E204" s="48">
        <f t="shared" ref="E204:E249" si="23">F204-D204</f>
        <v>3273.503995165257</v>
      </c>
      <c r="F204" s="48">
        <f t="shared" si="22"/>
        <v>5693.0289732807605</v>
      </c>
      <c r="G204" s="48">
        <f t="shared" ref="G204:G249" si="24">G203-E204</f>
        <v>190897.92655775012</v>
      </c>
      <c r="H204" s="48"/>
      <c r="I204" s="48"/>
      <c r="J204" s="35"/>
      <c r="L204" s="37" t="s">
        <v>20</v>
      </c>
      <c r="M204" s="26">
        <v>16.243500000000001</v>
      </c>
    </row>
    <row r="205" spans="1:15">
      <c r="A205" s="27">
        <v>4</v>
      </c>
      <c r="B205" s="29">
        <v>40854</v>
      </c>
      <c r="C205" s="46">
        <f t="shared" si="20"/>
        <v>35</v>
      </c>
      <c r="D205" s="48">
        <f t="shared" si="21"/>
        <v>2973.4182589432467</v>
      </c>
      <c r="E205" s="48">
        <f t="shared" si="23"/>
        <v>2719.6107143375139</v>
      </c>
      <c r="F205" s="48">
        <f t="shared" si="22"/>
        <v>5693.0289732807605</v>
      </c>
      <c r="G205" s="48">
        <f t="shared" si="24"/>
        <v>188178.31584341259</v>
      </c>
      <c r="H205" s="48"/>
      <c r="I205" s="48"/>
      <c r="J205" s="35"/>
      <c r="L205" s="37" t="s">
        <v>25</v>
      </c>
      <c r="M205" s="26">
        <f>M204/36500</f>
        <v>4.4502739726027401E-4</v>
      </c>
    </row>
    <row r="206" spans="1:15">
      <c r="A206" s="27">
        <v>5</v>
      </c>
      <c r="B206" s="29">
        <v>40882</v>
      </c>
      <c r="C206" s="46">
        <f t="shared" si="20"/>
        <v>28</v>
      </c>
      <c r="D206" s="48">
        <f t="shared" si="21"/>
        <v>2344.8461713772394</v>
      </c>
      <c r="E206" s="48">
        <f t="shared" si="23"/>
        <v>3348.1828019035211</v>
      </c>
      <c r="F206" s="48">
        <f t="shared" si="22"/>
        <v>5693.0289732807605</v>
      </c>
      <c r="G206" s="48">
        <f t="shared" si="24"/>
        <v>184830.13304150908</v>
      </c>
      <c r="H206" s="48"/>
      <c r="I206" s="48"/>
      <c r="J206" s="35"/>
    </row>
    <row r="207" spans="1:15">
      <c r="A207" s="27">
        <v>6</v>
      </c>
      <c r="B207" s="29">
        <v>40910</v>
      </c>
      <c r="C207" s="46">
        <f t="shared" si="20"/>
        <v>28</v>
      </c>
      <c r="D207" s="48">
        <f t="shared" si="21"/>
        <v>2303.1252451965229</v>
      </c>
      <c r="E207" s="48">
        <f t="shared" si="23"/>
        <v>3389.9037280842376</v>
      </c>
      <c r="F207" s="48">
        <f t="shared" si="22"/>
        <v>5693.0289732807605</v>
      </c>
      <c r="G207" s="48">
        <f t="shared" si="24"/>
        <v>181440.22931342485</v>
      </c>
      <c r="H207" s="48"/>
      <c r="I207" s="48"/>
      <c r="J207" s="35"/>
    </row>
    <row r="208" spans="1:15">
      <c r="A208" s="27">
        <v>7</v>
      </c>
      <c r="B208" s="29">
        <v>40945</v>
      </c>
      <c r="C208" s="46">
        <f t="shared" si="20"/>
        <v>35</v>
      </c>
      <c r="D208" s="48">
        <f t="shared" si="21"/>
        <v>2826.1055553381257</v>
      </c>
      <c r="E208" s="48">
        <f t="shared" si="23"/>
        <v>2866.9234179426348</v>
      </c>
      <c r="F208" s="48">
        <f t="shared" si="22"/>
        <v>5693.0289732807605</v>
      </c>
      <c r="G208" s="48">
        <f t="shared" si="24"/>
        <v>178573.30589548222</v>
      </c>
      <c r="H208" s="48"/>
      <c r="I208" s="48"/>
      <c r="J208" s="35"/>
    </row>
    <row r="209" spans="1:10">
      <c r="A209" s="27">
        <v>8</v>
      </c>
      <c r="B209" s="29">
        <v>40973</v>
      </c>
      <c r="C209" s="46">
        <f t="shared" si="20"/>
        <v>28</v>
      </c>
      <c r="D209" s="48">
        <f t="shared" si="21"/>
        <v>2225.1603791992175</v>
      </c>
      <c r="E209" s="48">
        <f t="shared" si="23"/>
        <v>3467.8685940815431</v>
      </c>
      <c r="F209" s="48">
        <f t="shared" si="22"/>
        <v>5693.0289732807605</v>
      </c>
      <c r="G209" s="48">
        <f t="shared" si="24"/>
        <v>175105.43730140067</v>
      </c>
      <c r="H209" s="48"/>
      <c r="I209" s="48"/>
      <c r="J209" s="35"/>
    </row>
    <row r="210" spans="1:10">
      <c r="A210" s="27">
        <v>9</v>
      </c>
      <c r="B210" s="29">
        <v>41001</v>
      </c>
      <c r="C210" s="46">
        <f t="shared" si="20"/>
        <v>28</v>
      </c>
      <c r="D210" s="48">
        <f t="shared" si="21"/>
        <v>2181.9480762342041</v>
      </c>
      <c r="E210" s="48">
        <f t="shared" si="23"/>
        <v>3511.0808970465564</v>
      </c>
      <c r="F210" s="48">
        <f t="shared" si="22"/>
        <v>5693.0289732807605</v>
      </c>
      <c r="G210" s="48">
        <f t="shared" si="24"/>
        <v>171594.35640435413</v>
      </c>
      <c r="H210" s="48"/>
      <c r="I210" s="48"/>
      <c r="J210" s="35"/>
    </row>
    <row r="211" spans="1:10">
      <c r="A211" s="27">
        <v>10</v>
      </c>
      <c r="B211" s="29">
        <v>41036</v>
      </c>
      <c r="C211" s="46">
        <f t="shared" si="20"/>
        <v>35</v>
      </c>
      <c r="D211" s="48">
        <f t="shared" si="21"/>
        <v>2672.746643531354</v>
      </c>
      <c r="E211" s="48">
        <f t="shared" si="23"/>
        <v>3020.2823297494065</v>
      </c>
      <c r="F211" s="48">
        <f t="shared" si="22"/>
        <v>5693.0289732807605</v>
      </c>
      <c r="G211" s="48">
        <f t="shared" si="24"/>
        <v>168574.07407460472</v>
      </c>
      <c r="H211" s="48"/>
      <c r="I211" s="48"/>
      <c r="J211" s="35"/>
    </row>
    <row r="212" spans="1:10">
      <c r="A212" s="27">
        <v>11</v>
      </c>
      <c r="B212" s="29">
        <v>41064</v>
      </c>
      <c r="C212" s="46">
        <f t="shared" si="20"/>
        <v>28</v>
      </c>
      <c r="D212" s="48">
        <f t="shared" si="21"/>
        <v>2100.5622800674955</v>
      </c>
      <c r="E212" s="48">
        <f t="shared" si="23"/>
        <v>3592.466693213265</v>
      </c>
      <c r="F212" s="48">
        <f t="shared" si="22"/>
        <v>5693.0289732807605</v>
      </c>
      <c r="G212" s="48">
        <f t="shared" si="24"/>
        <v>164981.60738139146</v>
      </c>
      <c r="H212" s="48"/>
      <c r="I212" s="48"/>
      <c r="J212" s="35"/>
    </row>
    <row r="213" spans="1:10">
      <c r="A213" s="27">
        <v>12</v>
      </c>
      <c r="B213" s="29">
        <v>41092</v>
      </c>
      <c r="C213" s="46">
        <f t="shared" si="20"/>
        <v>28</v>
      </c>
      <c r="D213" s="48">
        <f t="shared" si="21"/>
        <v>2055.7973892051973</v>
      </c>
      <c r="E213" s="48">
        <f t="shared" si="23"/>
        <v>3637.2315840755632</v>
      </c>
      <c r="F213" s="48">
        <f t="shared" si="22"/>
        <v>5693.0289732807605</v>
      </c>
      <c r="G213" s="48">
        <f t="shared" si="24"/>
        <v>161344.37579731588</v>
      </c>
      <c r="H213" s="48"/>
      <c r="I213" s="48"/>
      <c r="J213" s="35"/>
    </row>
    <row r="214" spans="1:10">
      <c r="A214" s="27">
        <v>13</v>
      </c>
      <c r="B214" s="29">
        <v>41127</v>
      </c>
      <c r="C214" s="46">
        <f t="shared" si="20"/>
        <v>35</v>
      </c>
      <c r="D214" s="48">
        <f t="shared" si="21"/>
        <v>2513.0933668282059</v>
      </c>
      <c r="E214" s="48">
        <f t="shared" si="23"/>
        <v>3179.9356064525546</v>
      </c>
      <c r="F214" s="48">
        <f t="shared" si="22"/>
        <v>5693.0289732807605</v>
      </c>
      <c r="G214" s="48">
        <f t="shared" si="24"/>
        <v>158164.44019086333</v>
      </c>
      <c r="H214" s="48"/>
      <c r="I214" s="48"/>
      <c r="J214" s="35"/>
    </row>
    <row r="215" spans="1:10">
      <c r="A215" s="27">
        <v>14</v>
      </c>
      <c r="B215" s="29">
        <v>41155</v>
      </c>
      <c r="C215" s="46">
        <f t="shared" si="20"/>
        <v>28</v>
      </c>
      <c r="D215" s="48">
        <f t="shared" si="21"/>
        <v>1970.8502564035091</v>
      </c>
      <c r="E215" s="48">
        <f t="shared" si="23"/>
        <v>3722.1787168772516</v>
      </c>
      <c r="F215" s="48">
        <f t="shared" si="22"/>
        <v>5693.0289732807605</v>
      </c>
      <c r="G215" s="48">
        <f t="shared" si="24"/>
        <v>154442.26147398609</v>
      </c>
      <c r="H215" s="48"/>
      <c r="I215" s="48"/>
      <c r="J215" s="35"/>
    </row>
    <row r="216" spans="1:10">
      <c r="A216" s="27">
        <v>15</v>
      </c>
      <c r="B216" s="29">
        <v>41183</v>
      </c>
      <c r="C216" s="46">
        <f t="shared" si="20"/>
        <v>28</v>
      </c>
      <c r="D216" s="48">
        <f t="shared" si="21"/>
        <v>1924.4690542212443</v>
      </c>
      <c r="E216" s="48">
        <f t="shared" si="23"/>
        <v>3768.5599190595162</v>
      </c>
      <c r="F216" s="48">
        <f t="shared" si="22"/>
        <v>5693.0289732807605</v>
      </c>
      <c r="G216" s="48">
        <f t="shared" si="24"/>
        <v>150673.70155492658</v>
      </c>
      <c r="H216" s="48"/>
      <c r="I216" s="48"/>
      <c r="J216" s="35"/>
    </row>
    <row r="217" spans="1:10">
      <c r="A217" s="27">
        <v>16</v>
      </c>
      <c r="B217" s="29">
        <v>41218</v>
      </c>
      <c r="C217" s="46">
        <f t="shared" si="20"/>
        <v>35</v>
      </c>
      <c r="D217" s="48">
        <f t="shared" si="21"/>
        <v>2346.88738334961</v>
      </c>
      <c r="E217" s="48">
        <f t="shared" si="23"/>
        <v>3346.1415899311505</v>
      </c>
      <c r="F217" s="48">
        <f t="shared" si="22"/>
        <v>5693.0289732807605</v>
      </c>
      <c r="G217" s="48">
        <f t="shared" si="24"/>
        <v>147327.55996499542</v>
      </c>
      <c r="H217" s="49"/>
      <c r="I217" s="30"/>
      <c r="J217" s="27"/>
    </row>
    <row r="218" spans="1:10">
      <c r="A218" s="27">
        <v>17</v>
      </c>
      <c r="B218" s="29">
        <v>41246</v>
      </c>
      <c r="C218" s="46">
        <f t="shared" si="20"/>
        <v>28</v>
      </c>
      <c r="D218" s="48">
        <f t="shared" si="21"/>
        <v>1835.8144155660079</v>
      </c>
      <c r="E218" s="48">
        <f t="shared" si="23"/>
        <v>3857.2145577147526</v>
      </c>
      <c r="F218" s="48">
        <f t="shared" si="22"/>
        <v>5693.0289732807605</v>
      </c>
      <c r="G218" s="48">
        <f t="shared" si="24"/>
        <v>143470.34540728066</v>
      </c>
      <c r="H218" s="49"/>
      <c r="I218" s="30"/>
      <c r="J218" s="27"/>
    </row>
    <row r="219" spans="1:10">
      <c r="A219" s="27">
        <v>18</v>
      </c>
      <c r="B219" s="29">
        <v>41281</v>
      </c>
      <c r="C219" s="46">
        <f t="shared" si="20"/>
        <v>35</v>
      </c>
      <c r="D219" s="48">
        <f t="shared" si="21"/>
        <v>2234.6882040222117</v>
      </c>
      <c r="E219" s="48">
        <f t="shared" si="23"/>
        <v>3458.3407692585488</v>
      </c>
      <c r="F219" s="48">
        <f t="shared" si="22"/>
        <v>5693.0289732807605</v>
      </c>
      <c r="G219" s="48">
        <f t="shared" si="24"/>
        <v>140012.0046380221</v>
      </c>
      <c r="H219" s="49"/>
      <c r="I219" s="30"/>
      <c r="J219" s="27"/>
    </row>
    <row r="220" spans="1:10">
      <c r="A220" s="27">
        <v>19</v>
      </c>
      <c r="B220" s="29">
        <v>41309</v>
      </c>
      <c r="C220" s="46">
        <f>B220-B219</f>
        <v>28</v>
      </c>
      <c r="D220" s="48">
        <f t="shared" si="21"/>
        <v>1744.656984259067</v>
      </c>
      <c r="E220" s="48">
        <f t="shared" si="23"/>
        <v>3948.3719890216935</v>
      </c>
      <c r="F220" s="48">
        <f t="shared" si="22"/>
        <v>5693.0289732807605</v>
      </c>
      <c r="G220" s="48">
        <f t="shared" si="24"/>
        <v>136063.63264900041</v>
      </c>
      <c r="H220" s="49"/>
      <c r="I220" s="30"/>
      <c r="J220" s="27"/>
    </row>
    <row r="221" spans="1:10">
      <c r="A221" s="27">
        <v>20</v>
      </c>
      <c r="B221" s="29">
        <v>41337</v>
      </c>
      <c r="C221" s="46">
        <f t="shared" si="20"/>
        <v>28</v>
      </c>
      <c r="D221" s="48">
        <f t="shared" si="21"/>
        <v>1695.4572403877555</v>
      </c>
      <c r="E221" s="48">
        <f t="shared" si="23"/>
        <v>3997.571732893005</v>
      </c>
      <c r="F221" s="48">
        <f t="shared" si="22"/>
        <v>5693.0289732807605</v>
      </c>
      <c r="G221" s="48">
        <f t="shared" si="24"/>
        <v>132066.06091610741</v>
      </c>
      <c r="H221" s="49"/>
      <c r="I221" s="30"/>
      <c r="J221" s="27"/>
    </row>
    <row r="222" spans="1:10">
      <c r="A222" s="27">
        <v>21</v>
      </c>
      <c r="B222" s="29">
        <v>41365</v>
      </c>
      <c r="C222" s="46">
        <f t="shared" si="20"/>
        <v>28</v>
      </c>
      <c r="D222" s="48">
        <f t="shared" si="21"/>
        <v>1645.6444299655382</v>
      </c>
      <c r="E222" s="48">
        <f t="shared" si="23"/>
        <v>4047.3845433152223</v>
      </c>
      <c r="F222" s="48">
        <f t="shared" si="22"/>
        <v>5693.0289732807605</v>
      </c>
      <c r="G222" s="48">
        <f t="shared" si="24"/>
        <v>128018.67637279219</v>
      </c>
      <c r="H222" s="49"/>
      <c r="I222" s="30"/>
      <c r="J222" s="27"/>
    </row>
    <row r="223" spans="1:10">
      <c r="A223" s="27">
        <v>22</v>
      </c>
      <c r="B223" s="29">
        <v>41400</v>
      </c>
      <c r="C223" s="46">
        <f t="shared" si="20"/>
        <v>35</v>
      </c>
      <c r="D223" s="48">
        <f t="shared" si="21"/>
        <v>1994.0136421411166</v>
      </c>
      <c r="E223" s="48">
        <f t="shared" si="23"/>
        <v>3699.0153311396439</v>
      </c>
      <c r="F223" s="48">
        <f t="shared" si="22"/>
        <v>5693.0289732807605</v>
      </c>
      <c r="G223" s="48">
        <f t="shared" si="24"/>
        <v>124319.66104165255</v>
      </c>
      <c r="H223" s="49"/>
      <c r="I223" s="30"/>
      <c r="J223" s="27"/>
    </row>
    <row r="224" spans="1:10">
      <c r="A224" s="27">
        <v>23</v>
      </c>
      <c r="B224" s="29">
        <v>41428</v>
      </c>
      <c r="C224" s="46">
        <f t="shared" si="20"/>
        <v>28</v>
      </c>
      <c r="D224" s="48">
        <f t="shared" si="21"/>
        <v>1549.1183450860913</v>
      </c>
      <c r="E224" s="48">
        <f t="shared" si="23"/>
        <v>4143.9106281946697</v>
      </c>
      <c r="F224" s="48">
        <f t="shared" si="22"/>
        <v>5693.0289732807605</v>
      </c>
      <c r="G224" s="48">
        <f t="shared" si="24"/>
        <v>120175.75041345788</v>
      </c>
      <c r="H224" s="49"/>
      <c r="I224" s="30"/>
      <c r="J224" s="27"/>
    </row>
    <row r="225" spans="1:10">
      <c r="A225" s="27">
        <v>24</v>
      </c>
      <c r="B225" s="29">
        <v>41456</v>
      </c>
      <c r="C225" s="46">
        <f t="shared" si="20"/>
        <v>28</v>
      </c>
      <c r="D225" s="48">
        <f t="shared" si="21"/>
        <v>1497.4820397684407</v>
      </c>
      <c r="E225" s="48">
        <f t="shared" si="23"/>
        <v>4195.5469335123198</v>
      </c>
      <c r="F225" s="48">
        <f t="shared" si="22"/>
        <v>5693.0289732807605</v>
      </c>
      <c r="G225" s="48">
        <f t="shared" si="24"/>
        <v>115980.20347994556</v>
      </c>
      <c r="H225" s="49"/>
      <c r="I225" s="30"/>
      <c r="J225" s="27"/>
    </row>
    <row r="226" spans="1:10">
      <c r="A226" s="27">
        <v>25</v>
      </c>
      <c r="B226" s="29">
        <v>41491</v>
      </c>
      <c r="C226" s="46">
        <f t="shared" si="20"/>
        <v>35</v>
      </c>
      <c r="D226" s="48">
        <f t="shared" si="21"/>
        <v>1806.5028830939</v>
      </c>
      <c r="E226" s="48">
        <f t="shared" si="23"/>
        <v>3886.5260901868605</v>
      </c>
      <c r="F226" s="48">
        <f t="shared" si="22"/>
        <v>5693.0289732807605</v>
      </c>
      <c r="G226" s="48">
        <f t="shared" si="24"/>
        <v>112093.6773897587</v>
      </c>
      <c r="H226" s="49"/>
      <c r="I226" s="30"/>
      <c r="J226" s="27"/>
    </row>
    <row r="227" spans="1:10">
      <c r="A227" s="27">
        <v>26</v>
      </c>
      <c r="B227" s="29">
        <v>41519</v>
      </c>
      <c r="C227" s="46">
        <f t="shared" si="20"/>
        <v>28</v>
      </c>
      <c r="D227" s="48">
        <f t="shared" si="21"/>
        <v>1396.7732099467198</v>
      </c>
      <c r="E227" s="48">
        <f t="shared" si="23"/>
        <v>4296.2557633340402</v>
      </c>
      <c r="F227" s="48">
        <f t="shared" si="22"/>
        <v>5693.0289732807605</v>
      </c>
      <c r="G227" s="48">
        <f t="shared" si="24"/>
        <v>107797.42162642465</v>
      </c>
      <c r="H227" s="49"/>
      <c r="I227" s="30"/>
      <c r="J227" s="27"/>
    </row>
    <row r="228" spans="1:10">
      <c r="A228" s="27">
        <v>27</v>
      </c>
      <c r="B228" s="29">
        <v>41554</v>
      </c>
      <c r="C228" s="46">
        <f t="shared" si="20"/>
        <v>35</v>
      </c>
      <c r="D228" s="48">
        <f t="shared" si="21"/>
        <v>1679.0482092221646</v>
      </c>
      <c r="E228" s="48">
        <f t="shared" si="23"/>
        <v>4013.9807640585959</v>
      </c>
      <c r="F228" s="48">
        <f t="shared" si="22"/>
        <v>5693.0289732807605</v>
      </c>
      <c r="G228" s="48">
        <f t="shared" si="24"/>
        <v>103783.44086236606</v>
      </c>
      <c r="H228" s="49"/>
      <c r="I228" s="30"/>
      <c r="J228" s="27"/>
    </row>
    <row r="229" spans="1:10">
      <c r="A229" s="27">
        <v>28</v>
      </c>
      <c r="B229" s="29">
        <v>41582</v>
      </c>
      <c r="C229" s="46">
        <f t="shared" si="20"/>
        <v>28</v>
      </c>
      <c r="D229" s="48">
        <f t="shared" si="21"/>
        <v>1293.2212878394414</v>
      </c>
      <c r="E229" s="48">
        <f t="shared" si="23"/>
        <v>4399.8076854413193</v>
      </c>
      <c r="F229" s="48">
        <f t="shared" si="22"/>
        <v>5693.0289732807605</v>
      </c>
      <c r="G229" s="48">
        <f t="shared" si="24"/>
        <v>99383.633176924734</v>
      </c>
      <c r="H229" s="49"/>
      <c r="I229" s="30"/>
      <c r="J229" s="27"/>
    </row>
    <row r="230" spans="1:10">
      <c r="A230" s="27">
        <v>29</v>
      </c>
      <c r="B230" s="29">
        <v>41610</v>
      </c>
      <c r="C230" s="46">
        <f t="shared" si="20"/>
        <v>28</v>
      </c>
      <c r="D230" s="48">
        <f t="shared" si="21"/>
        <v>1238.3963088839057</v>
      </c>
      <c r="E230" s="48">
        <f t="shared" si="23"/>
        <v>4454.632664396855</v>
      </c>
      <c r="F230" s="48">
        <f t="shared" si="22"/>
        <v>5693.0289732807605</v>
      </c>
      <c r="G230" s="48">
        <f t="shared" si="24"/>
        <v>94929.000512527884</v>
      </c>
      <c r="H230" s="49"/>
      <c r="I230" s="30"/>
      <c r="J230" s="27"/>
    </row>
    <row r="231" spans="1:10">
      <c r="A231" s="27">
        <v>30</v>
      </c>
      <c r="B231" s="29">
        <v>41645</v>
      </c>
      <c r="C231" s="46">
        <f t="shared" si="20"/>
        <v>35</v>
      </c>
      <c r="D231" s="48">
        <f t="shared" si="21"/>
        <v>1478.6102107913325</v>
      </c>
      <c r="E231" s="48">
        <f t="shared" si="23"/>
        <v>4214.4187624894275</v>
      </c>
      <c r="F231" s="48">
        <f t="shared" si="22"/>
        <v>5693.0289732807605</v>
      </c>
      <c r="G231" s="48">
        <f t="shared" si="24"/>
        <v>90714.581750038458</v>
      </c>
      <c r="H231" s="49"/>
      <c r="I231" s="30"/>
      <c r="J231" s="27"/>
    </row>
    <row r="232" spans="1:10">
      <c r="A232" s="27">
        <v>31</v>
      </c>
      <c r="B232" s="29">
        <v>41673</v>
      </c>
      <c r="C232" s="46">
        <f t="shared" si="20"/>
        <v>28</v>
      </c>
      <c r="D232" s="48">
        <f t="shared" si="21"/>
        <v>1130.373277873671</v>
      </c>
      <c r="E232" s="48">
        <f t="shared" si="23"/>
        <v>4562.6556954070893</v>
      </c>
      <c r="F232" s="48">
        <f t="shared" si="22"/>
        <v>5693.0289732807605</v>
      </c>
      <c r="G232" s="48">
        <f t="shared" si="24"/>
        <v>86151.926054631374</v>
      </c>
      <c r="H232" s="49"/>
      <c r="I232" s="30"/>
      <c r="J232" s="27"/>
    </row>
    <row r="233" spans="1:10">
      <c r="A233" s="27">
        <v>32</v>
      </c>
      <c r="B233" s="29">
        <v>41701</v>
      </c>
      <c r="C233" s="46">
        <f t="shared" si="20"/>
        <v>28</v>
      </c>
      <c r="D233" s="48">
        <f t="shared" si="21"/>
        <v>1073.5190877894613</v>
      </c>
      <c r="E233" s="48">
        <f t="shared" si="23"/>
        <v>4619.5098854912994</v>
      </c>
      <c r="F233" s="48">
        <f t="shared" si="22"/>
        <v>5693.0289732807605</v>
      </c>
      <c r="G233" s="48">
        <f t="shared" si="24"/>
        <v>81532.41616914008</v>
      </c>
      <c r="H233" s="49"/>
      <c r="I233" s="30"/>
      <c r="J233" s="27"/>
    </row>
    <row r="234" spans="1:10">
      <c r="A234" s="27">
        <v>33</v>
      </c>
      <c r="B234" s="29">
        <v>41736</v>
      </c>
      <c r="C234" s="46">
        <f t="shared" si="20"/>
        <v>35</v>
      </c>
      <c r="D234" s="48">
        <f t="shared" si="21"/>
        <v>1269.9455636032862</v>
      </c>
      <c r="E234" s="48">
        <f t="shared" si="23"/>
        <v>4423.0834096774743</v>
      </c>
      <c r="F234" s="48">
        <f t="shared" si="22"/>
        <v>5693.0289732807605</v>
      </c>
      <c r="G234" s="48">
        <f t="shared" si="24"/>
        <v>77109.332759462603</v>
      </c>
      <c r="H234" s="49"/>
      <c r="I234" s="30"/>
      <c r="J234" s="27"/>
    </row>
    <row r="235" spans="1:10">
      <c r="A235" s="27">
        <v>34</v>
      </c>
      <c r="B235" s="29">
        <v>41764</v>
      </c>
      <c r="C235" s="46">
        <f t="shared" si="20"/>
        <v>28</v>
      </c>
      <c r="D235" s="48">
        <f t="shared" si="21"/>
        <v>960.84143854776073</v>
      </c>
      <c r="E235" s="48">
        <f t="shared" si="23"/>
        <v>4732.1875347329997</v>
      </c>
      <c r="F235" s="48">
        <f t="shared" si="22"/>
        <v>5693.0289732807605</v>
      </c>
      <c r="G235" s="48">
        <f t="shared" si="24"/>
        <v>72377.145224729597</v>
      </c>
      <c r="H235" s="49"/>
      <c r="I235" s="30"/>
      <c r="J235" s="27"/>
    </row>
    <row r="236" spans="1:10">
      <c r="A236" s="27">
        <v>35</v>
      </c>
      <c r="B236" s="29">
        <v>41792</v>
      </c>
      <c r="C236" s="46">
        <f t="shared" si="20"/>
        <v>28</v>
      </c>
      <c r="D236" s="48">
        <f t="shared" si="21"/>
        <v>901.87475169372794</v>
      </c>
      <c r="E236" s="48">
        <f t="shared" si="23"/>
        <v>4791.1542215870322</v>
      </c>
      <c r="F236" s="48">
        <f t="shared" si="22"/>
        <v>5693.0289732807605</v>
      </c>
      <c r="G236" s="48">
        <f t="shared" si="24"/>
        <v>67585.991003142568</v>
      </c>
      <c r="H236" s="49"/>
      <c r="I236" s="30"/>
      <c r="J236" s="27"/>
    </row>
    <row r="237" spans="1:10">
      <c r="A237" s="27">
        <v>36</v>
      </c>
      <c r="B237" s="29">
        <v>41827</v>
      </c>
      <c r="C237" s="46">
        <f t="shared" si="20"/>
        <v>35</v>
      </c>
      <c r="D237" s="48">
        <f t="shared" si="21"/>
        <v>1052.7166183584691</v>
      </c>
      <c r="E237" s="48">
        <f t="shared" si="23"/>
        <v>4640.312354922291</v>
      </c>
      <c r="F237" s="48">
        <f t="shared" si="22"/>
        <v>5693.0289732807605</v>
      </c>
      <c r="G237" s="48">
        <f t="shared" si="24"/>
        <v>62945.678648220273</v>
      </c>
      <c r="H237" s="49"/>
      <c r="I237" s="30"/>
      <c r="J237" s="27"/>
    </row>
    <row r="238" spans="1:10">
      <c r="A238" s="27">
        <v>37</v>
      </c>
      <c r="B238" s="29">
        <v>41855</v>
      </c>
      <c r="C238" s="46">
        <f t="shared" si="20"/>
        <v>28</v>
      </c>
      <c r="D238" s="48">
        <f t="shared" si="21"/>
        <v>784.35144305277402</v>
      </c>
      <c r="E238" s="48">
        <f t="shared" si="23"/>
        <v>4908.6775302279866</v>
      </c>
      <c r="F238" s="48">
        <f t="shared" si="22"/>
        <v>5693.0289732807605</v>
      </c>
      <c r="G238" s="48">
        <f t="shared" si="24"/>
        <v>58037.001117992288</v>
      </c>
      <c r="H238" s="49"/>
      <c r="I238" s="30"/>
      <c r="J238" s="27"/>
    </row>
    <row r="239" spans="1:10">
      <c r="A239" s="27">
        <v>38</v>
      </c>
      <c r="B239" s="29">
        <v>41883</v>
      </c>
      <c r="C239" s="46">
        <f t="shared" si="20"/>
        <v>28</v>
      </c>
      <c r="D239" s="48">
        <f t="shared" si="21"/>
        <v>723.18555546528819</v>
      </c>
      <c r="E239" s="48">
        <f t="shared" si="23"/>
        <v>4969.8434178154721</v>
      </c>
      <c r="F239" s="48">
        <f t="shared" si="22"/>
        <v>5693.0289732807605</v>
      </c>
      <c r="G239" s="48">
        <f t="shared" si="24"/>
        <v>53067.157700176816</v>
      </c>
      <c r="H239" s="49"/>
      <c r="I239" s="30"/>
      <c r="J239" s="27"/>
    </row>
    <row r="240" spans="1:10">
      <c r="A240" s="27">
        <v>39</v>
      </c>
      <c r="B240" s="29">
        <v>41918</v>
      </c>
      <c r="C240" s="46">
        <f t="shared" si="20"/>
        <v>35</v>
      </c>
      <c r="D240" s="48">
        <f t="shared" si="21"/>
        <v>826.57186749585685</v>
      </c>
      <c r="E240" s="48">
        <f t="shared" si="23"/>
        <v>4866.4571057849034</v>
      </c>
      <c r="F240" s="48">
        <f t="shared" si="22"/>
        <v>5693.0289732807605</v>
      </c>
      <c r="G240" s="48">
        <f t="shared" si="24"/>
        <v>48200.700594391914</v>
      </c>
      <c r="H240" s="49"/>
      <c r="I240" s="30"/>
      <c r="J240" s="27"/>
    </row>
    <row r="241" spans="1:10">
      <c r="A241" s="27">
        <v>40</v>
      </c>
      <c r="B241" s="29">
        <v>41946</v>
      </c>
      <c r="C241" s="46">
        <f t="shared" si="20"/>
        <v>28</v>
      </c>
      <c r="D241" s="48">
        <f t="shared" si="21"/>
        <v>600.61770528603131</v>
      </c>
      <c r="E241" s="48">
        <f t="shared" si="23"/>
        <v>5092.4112679947293</v>
      </c>
      <c r="F241" s="48">
        <f t="shared" si="22"/>
        <v>5693.0289732807605</v>
      </c>
      <c r="G241" s="48">
        <f t="shared" si="24"/>
        <v>43108.289326397186</v>
      </c>
      <c r="H241" s="49"/>
      <c r="I241" s="30"/>
      <c r="J241" s="27"/>
    </row>
    <row r="242" spans="1:10">
      <c r="A242" s="27">
        <v>41</v>
      </c>
      <c r="B242" s="29">
        <v>41974</v>
      </c>
      <c r="C242" s="46">
        <f t="shared" si="20"/>
        <v>28</v>
      </c>
      <c r="D242" s="48">
        <f t="shared" si="21"/>
        <v>537.16235437954288</v>
      </c>
      <c r="E242" s="48">
        <f t="shared" si="23"/>
        <v>5155.8666189012174</v>
      </c>
      <c r="F242" s="48">
        <f t="shared" si="22"/>
        <v>5693.0289732807605</v>
      </c>
      <c r="G242" s="48">
        <f t="shared" si="24"/>
        <v>37952.422707495971</v>
      </c>
      <c r="H242" s="49"/>
      <c r="I242" s="30"/>
      <c r="J242" s="27"/>
    </row>
    <row r="243" spans="1:10">
      <c r="A243" s="27">
        <v>42</v>
      </c>
      <c r="B243" s="29">
        <v>42009</v>
      </c>
      <c r="C243" s="46">
        <f t="shared" si="20"/>
        <v>35</v>
      </c>
      <c r="D243" s="48">
        <f t="shared" si="21"/>
        <v>591.14537640335277</v>
      </c>
      <c r="E243" s="48">
        <f t="shared" si="23"/>
        <v>5101.8835968774074</v>
      </c>
      <c r="F243" s="48">
        <f t="shared" si="22"/>
        <v>5693.0289732807605</v>
      </c>
      <c r="G243" s="48">
        <f t="shared" si="24"/>
        <v>32850.539110618563</v>
      </c>
      <c r="H243" s="49"/>
      <c r="I243" s="30"/>
      <c r="J243" s="27"/>
    </row>
    <row r="244" spans="1:10">
      <c r="A244" s="27">
        <v>43</v>
      </c>
      <c r="B244" s="29">
        <v>42037</v>
      </c>
      <c r="C244" s="46">
        <f t="shared" si="20"/>
        <v>28</v>
      </c>
      <c r="D244" s="48">
        <f t="shared" si="21"/>
        <v>409.34291773187169</v>
      </c>
      <c r="E244" s="48">
        <f t="shared" si="23"/>
        <v>5283.6860555488893</v>
      </c>
      <c r="F244" s="48">
        <f t="shared" si="22"/>
        <v>5693.0289732807605</v>
      </c>
      <c r="G244" s="48">
        <f t="shared" si="24"/>
        <v>27566.853055069674</v>
      </c>
      <c r="H244" s="49"/>
      <c r="I244" s="30"/>
      <c r="J244" s="27"/>
    </row>
    <row r="245" spans="1:10">
      <c r="A245" s="27">
        <v>44</v>
      </c>
      <c r="B245" s="29">
        <v>42065</v>
      </c>
      <c r="C245" s="46">
        <f t="shared" si="20"/>
        <v>28</v>
      </c>
      <c r="D245" s="48">
        <f t="shared" si="21"/>
        <v>343.50413624111451</v>
      </c>
      <c r="E245" s="48">
        <f t="shared" si="23"/>
        <v>5349.5248370396457</v>
      </c>
      <c r="F245" s="48">
        <f t="shared" si="22"/>
        <v>5693.0289732807605</v>
      </c>
      <c r="G245" s="48">
        <f t="shared" si="24"/>
        <v>22217.32821803003</v>
      </c>
      <c r="H245" s="49"/>
      <c r="I245" s="30"/>
      <c r="J245" s="27"/>
    </row>
    <row r="246" spans="1:10">
      <c r="A246" s="27">
        <v>45</v>
      </c>
      <c r="B246" s="29">
        <v>42100</v>
      </c>
      <c r="C246" s="46">
        <f t="shared" si="20"/>
        <v>35</v>
      </c>
      <c r="D246" s="48">
        <f t="shared" si="21"/>
        <v>346.0561912831501</v>
      </c>
      <c r="E246" s="48">
        <f t="shared" si="23"/>
        <v>5346.9727819976106</v>
      </c>
      <c r="F246" s="48">
        <f t="shared" si="22"/>
        <v>5693.0289732807605</v>
      </c>
      <c r="G246" s="48">
        <f t="shared" si="24"/>
        <v>16870.35543603242</v>
      </c>
      <c r="H246" s="49"/>
      <c r="I246" s="30"/>
      <c r="J246" s="27"/>
    </row>
    <row r="247" spans="1:10">
      <c r="A247" s="27">
        <v>46</v>
      </c>
      <c r="B247" s="29">
        <v>42128</v>
      </c>
      <c r="C247" s="46">
        <f t="shared" si="20"/>
        <v>28</v>
      </c>
      <c r="D247" s="48">
        <f t="shared" si="21"/>
        <v>210.21757037549023</v>
      </c>
      <c r="E247" s="48">
        <f t="shared" si="23"/>
        <v>5482.8114029052704</v>
      </c>
      <c r="F247" s="48">
        <f t="shared" si="22"/>
        <v>5693.0289732807605</v>
      </c>
      <c r="G247" s="48">
        <f t="shared" si="24"/>
        <v>11387.544033127149</v>
      </c>
      <c r="H247" s="49"/>
      <c r="I247" s="30"/>
      <c r="J247" s="27"/>
    </row>
    <row r="248" spans="1:10">
      <c r="A248" s="27">
        <v>47</v>
      </c>
      <c r="B248" s="29">
        <v>42156</v>
      </c>
      <c r="C248" s="46">
        <f t="shared" si="20"/>
        <v>28</v>
      </c>
      <c r="D248" s="48">
        <f t="shared" si="21"/>
        <v>141.89753430298148</v>
      </c>
      <c r="E248" s="48">
        <f t="shared" si="23"/>
        <v>5551.131438977779</v>
      </c>
      <c r="F248" s="48">
        <f t="shared" si="22"/>
        <v>5693.0289732807605</v>
      </c>
      <c r="G248" s="48">
        <f t="shared" si="24"/>
        <v>5836.4125941493703</v>
      </c>
      <c r="H248" s="49"/>
      <c r="I248" s="30"/>
      <c r="J248" s="27"/>
    </row>
    <row r="249" spans="1:10">
      <c r="A249" s="27">
        <v>48</v>
      </c>
      <c r="B249" s="29">
        <v>42191</v>
      </c>
      <c r="C249" s="46">
        <f t="shared" si="20"/>
        <v>35</v>
      </c>
      <c r="D249" s="48">
        <f t="shared" si="21"/>
        <v>90.907722713898238</v>
      </c>
      <c r="E249" s="48">
        <f t="shared" si="23"/>
        <v>5836.0922772861013</v>
      </c>
      <c r="F249" s="48">
        <v>5927</v>
      </c>
      <c r="G249" s="48">
        <f t="shared" si="24"/>
        <v>0.32031686326899944</v>
      </c>
      <c r="H249" s="49">
        <f>F249+G249</f>
        <v>5927.320316863269</v>
      </c>
      <c r="I249" s="30"/>
      <c r="J249" s="27"/>
    </row>
    <row r="250" spans="1:10">
      <c r="A250" s="27"/>
      <c r="B250" s="29"/>
      <c r="C250" s="46"/>
      <c r="D250" s="48"/>
      <c r="E250" s="48"/>
      <c r="F250" s="48"/>
      <c r="G250" s="48"/>
      <c r="H250" s="49"/>
      <c r="I250" s="30"/>
      <c r="J250" s="27"/>
    </row>
    <row r="251" spans="1:10">
      <c r="A251" s="27"/>
      <c r="B251" s="29"/>
      <c r="C251" s="46"/>
      <c r="D251" s="47"/>
      <c r="E251" s="48"/>
      <c r="F251" s="48"/>
      <c r="G251" s="48"/>
      <c r="H251" s="49"/>
      <c r="I251" s="30"/>
      <c r="J251" s="27"/>
    </row>
    <row r="252" spans="1:10">
      <c r="A252" s="27"/>
      <c r="B252" s="32" t="s">
        <v>5</v>
      </c>
      <c r="C252" s="57">
        <f>SUM(C202:C249)</f>
        <v>1463</v>
      </c>
      <c r="D252" s="57">
        <f>SUM(D202:D249)</f>
        <v>73499.682061059008</v>
      </c>
      <c r="E252" s="58">
        <f>SUM(E202:E249)</f>
        <v>199999.67968313678</v>
      </c>
      <c r="F252" s="57">
        <f>SUM(F202:F249)</f>
        <v>273499.36174419598</v>
      </c>
      <c r="G252" s="48"/>
      <c r="H252" s="33"/>
      <c r="I252" s="27"/>
      <c r="J252" s="27"/>
    </row>
    <row r="253" spans="1:10">
      <c r="A253" s="27"/>
      <c r="B253" s="32"/>
      <c r="C253" s="50"/>
      <c r="D253" s="53"/>
      <c r="E253" s="53"/>
      <c r="F253" s="53"/>
      <c r="G253" s="48"/>
      <c r="H253" s="48"/>
      <c r="I253" s="27"/>
      <c r="J253" s="35"/>
    </row>
    <row r="255" spans="1:10">
      <c r="B255" s="22"/>
      <c r="D255" s="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H201"/>
  <sheetViews>
    <sheetView topLeftCell="A187" workbookViewId="0">
      <selection activeCell="B7" sqref="B7"/>
    </sheetView>
  </sheetViews>
  <sheetFormatPr defaultRowHeight="15"/>
  <cols>
    <col min="1" max="1" width="14.28515625" customWidth="1"/>
    <col min="2" max="2" width="11.5703125" bestFit="1" customWidth="1"/>
    <col min="3" max="3" width="12" bestFit="1" customWidth="1"/>
    <col min="4" max="4" width="16" style="1" bestFit="1" customWidth="1"/>
    <col min="5" max="5" width="16.7109375" bestFit="1" customWidth="1"/>
    <col min="6" max="6" width="17.140625" customWidth="1"/>
    <col min="7" max="7" width="14.5703125" customWidth="1"/>
    <col min="8" max="8" width="9.5703125" bestFit="1" customWidth="1"/>
  </cols>
  <sheetData>
    <row r="1" spans="1:8">
      <c r="A1" s="2"/>
      <c r="C1" t="s">
        <v>21</v>
      </c>
    </row>
    <row r="2" spans="1:8">
      <c r="A2" s="2"/>
      <c r="B2" s="69"/>
    </row>
    <row r="3" spans="1:8">
      <c r="A3" s="32" t="s">
        <v>36</v>
      </c>
      <c r="B3" s="39">
        <v>5000</v>
      </c>
      <c r="C3" s="72">
        <v>10000</v>
      </c>
      <c r="D3" s="73">
        <v>20000</v>
      </c>
      <c r="E3" s="27">
        <v>50000</v>
      </c>
      <c r="F3" s="27">
        <v>100000</v>
      </c>
      <c r="G3" s="27">
        <v>200000</v>
      </c>
    </row>
    <row r="4" spans="1:8">
      <c r="A4" s="32" t="s">
        <v>8</v>
      </c>
      <c r="B4" s="39">
        <v>15</v>
      </c>
      <c r="C4" s="39">
        <v>20</v>
      </c>
      <c r="D4" s="39">
        <v>20</v>
      </c>
      <c r="E4" s="39">
        <v>25</v>
      </c>
      <c r="F4" s="39">
        <v>36</v>
      </c>
      <c r="G4" s="39">
        <v>48</v>
      </c>
    </row>
    <row r="5" spans="1:8">
      <c r="A5" s="32" t="s">
        <v>32</v>
      </c>
      <c r="B5" s="74">
        <f>D26</f>
        <v>600</v>
      </c>
      <c r="C5" s="74">
        <f>D51</f>
        <v>1575</v>
      </c>
      <c r="D5" s="74">
        <f>D76</f>
        <v>3150</v>
      </c>
      <c r="E5" s="74">
        <f>D106</f>
        <v>9750</v>
      </c>
      <c r="F5" s="74">
        <f>D147</f>
        <v>27749.999999999967</v>
      </c>
      <c r="G5" s="74">
        <f>D201</f>
        <v>73500</v>
      </c>
    </row>
    <row r="6" spans="1:8">
      <c r="B6" s="69"/>
    </row>
    <row r="7" spans="1:8">
      <c r="B7" s="69"/>
    </row>
    <row r="8" spans="1:8">
      <c r="A8" t="s">
        <v>28</v>
      </c>
      <c r="B8" s="69">
        <v>5000</v>
      </c>
    </row>
    <row r="9" spans="1:8">
      <c r="A9" t="s">
        <v>33</v>
      </c>
      <c r="B9" s="69">
        <v>15</v>
      </c>
    </row>
    <row r="10" spans="1:8">
      <c r="A10" s="20" t="s">
        <v>9</v>
      </c>
      <c r="B10" s="6" t="s">
        <v>0</v>
      </c>
      <c r="C10" s="7" t="s">
        <v>1</v>
      </c>
      <c r="D10" s="8" t="s">
        <v>2</v>
      </c>
      <c r="E10" s="7" t="s">
        <v>3</v>
      </c>
      <c r="F10" s="9" t="s">
        <v>4</v>
      </c>
    </row>
    <row r="11" spans="1:8">
      <c r="A11" s="5">
        <v>1</v>
      </c>
      <c r="B11" s="10">
        <f>B8</f>
        <v>5000</v>
      </c>
      <c r="C11" s="11">
        <f>0.18/12</f>
        <v>1.4999999999999999E-2</v>
      </c>
      <c r="D11" s="12">
        <f>B11*C11</f>
        <v>75</v>
      </c>
      <c r="E11" s="12">
        <f>$B$8/$B$9</f>
        <v>333.33333333333331</v>
      </c>
      <c r="F11" s="13">
        <f>B8-E11</f>
        <v>4666.666666666667</v>
      </c>
      <c r="H11" s="25"/>
    </row>
    <row r="12" spans="1:8">
      <c r="A12" s="5">
        <v>2</v>
      </c>
      <c r="B12" s="10">
        <f>F11</f>
        <v>4666.666666666667</v>
      </c>
      <c r="C12" s="11">
        <f>0.18/12</f>
        <v>1.4999999999999999E-2</v>
      </c>
      <c r="D12" s="12">
        <f>B12*C12</f>
        <v>70</v>
      </c>
      <c r="E12" s="12">
        <f t="shared" ref="E12:E25" si="0">$B$8/$B$9</f>
        <v>333.33333333333331</v>
      </c>
      <c r="F12" s="13">
        <f>B12-E12</f>
        <v>4333.3333333333339</v>
      </c>
    </row>
    <row r="13" spans="1:8">
      <c r="A13" s="5">
        <v>3</v>
      </c>
      <c r="B13" s="10">
        <f t="shared" ref="B13:B23" si="1">F12</f>
        <v>4333.3333333333339</v>
      </c>
      <c r="C13" s="11">
        <f t="shared" ref="C13:C25" si="2">0.18/12</f>
        <v>1.4999999999999999E-2</v>
      </c>
      <c r="D13" s="12">
        <f t="shared" ref="D13:D23" si="3">B13*C13</f>
        <v>65</v>
      </c>
      <c r="E13" s="12">
        <f t="shared" si="0"/>
        <v>333.33333333333331</v>
      </c>
      <c r="F13" s="13">
        <f t="shared" ref="F13:F23" si="4">B13-E13</f>
        <v>4000.0000000000005</v>
      </c>
    </row>
    <row r="14" spans="1:8">
      <c r="A14" s="5">
        <v>4</v>
      </c>
      <c r="B14" s="10">
        <f t="shared" si="1"/>
        <v>4000.0000000000005</v>
      </c>
      <c r="C14" s="11">
        <f t="shared" si="2"/>
        <v>1.4999999999999999E-2</v>
      </c>
      <c r="D14" s="12">
        <f t="shared" si="3"/>
        <v>60.000000000000007</v>
      </c>
      <c r="E14" s="12">
        <f t="shared" si="0"/>
        <v>333.33333333333331</v>
      </c>
      <c r="F14" s="13">
        <f t="shared" si="4"/>
        <v>3666.666666666667</v>
      </c>
    </row>
    <row r="15" spans="1:8">
      <c r="A15" s="5">
        <v>5</v>
      </c>
      <c r="B15" s="10">
        <f t="shared" si="1"/>
        <v>3666.666666666667</v>
      </c>
      <c r="C15" s="11">
        <f t="shared" si="2"/>
        <v>1.4999999999999999E-2</v>
      </c>
      <c r="D15" s="12">
        <f t="shared" si="3"/>
        <v>55</v>
      </c>
      <c r="E15" s="12">
        <f t="shared" si="0"/>
        <v>333.33333333333331</v>
      </c>
      <c r="F15" s="13">
        <f t="shared" si="4"/>
        <v>3333.3333333333335</v>
      </c>
    </row>
    <row r="16" spans="1:8">
      <c r="A16" s="5">
        <v>6</v>
      </c>
      <c r="B16" s="10">
        <f t="shared" si="1"/>
        <v>3333.3333333333335</v>
      </c>
      <c r="C16" s="11">
        <f t="shared" si="2"/>
        <v>1.4999999999999999E-2</v>
      </c>
      <c r="D16" s="12">
        <f t="shared" si="3"/>
        <v>50</v>
      </c>
      <c r="E16" s="12">
        <f t="shared" si="0"/>
        <v>333.33333333333331</v>
      </c>
      <c r="F16" s="13">
        <f t="shared" si="4"/>
        <v>3000</v>
      </c>
    </row>
    <row r="17" spans="1:8">
      <c r="A17" s="5">
        <v>7</v>
      </c>
      <c r="B17" s="10">
        <f t="shared" si="1"/>
        <v>3000</v>
      </c>
      <c r="C17" s="11">
        <f t="shared" si="2"/>
        <v>1.4999999999999999E-2</v>
      </c>
      <c r="D17" s="12">
        <f t="shared" si="3"/>
        <v>45</v>
      </c>
      <c r="E17" s="12">
        <f t="shared" si="0"/>
        <v>333.33333333333331</v>
      </c>
      <c r="F17" s="13">
        <f t="shared" si="4"/>
        <v>2666.6666666666665</v>
      </c>
    </row>
    <row r="18" spans="1:8">
      <c r="A18" s="5">
        <v>8</v>
      </c>
      <c r="B18" s="10">
        <f t="shared" si="1"/>
        <v>2666.6666666666665</v>
      </c>
      <c r="C18" s="11">
        <f t="shared" si="2"/>
        <v>1.4999999999999999E-2</v>
      </c>
      <c r="D18" s="12">
        <f t="shared" si="3"/>
        <v>39.999999999999993</v>
      </c>
      <c r="E18" s="12">
        <f t="shared" si="0"/>
        <v>333.33333333333331</v>
      </c>
      <c r="F18" s="13">
        <f t="shared" si="4"/>
        <v>2333.333333333333</v>
      </c>
    </row>
    <row r="19" spans="1:8">
      <c r="A19" s="5">
        <v>9</v>
      </c>
      <c r="B19" s="10">
        <f t="shared" si="1"/>
        <v>2333.333333333333</v>
      </c>
      <c r="C19" s="11">
        <f t="shared" si="2"/>
        <v>1.4999999999999999E-2</v>
      </c>
      <c r="D19" s="12">
        <f t="shared" si="3"/>
        <v>34.999999999999993</v>
      </c>
      <c r="E19" s="12">
        <f t="shared" si="0"/>
        <v>333.33333333333331</v>
      </c>
      <c r="F19" s="13">
        <f t="shared" si="4"/>
        <v>1999.9999999999998</v>
      </c>
    </row>
    <row r="20" spans="1:8">
      <c r="A20" s="5">
        <v>10</v>
      </c>
      <c r="B20" s="10">
        <f t="shared" si="1"/>
        <v>1999.9999999999998</v>
      </c>
      <c r="C20" s="11">
        <f t="shared" si="2"/>
        <v>1.4999999999999999E-2</v>
      </c>
      <c r="D20" s="12">
        <f t="shared" si="3"/>
        <v>29.999999999999996</v>
      </c>
      <c r="E20" s="12">
        <f t="shared" si="0"/>
        <v>333.33333333333331</v>
      </c>
      <c r="F20" s="13">
        <f t="shared" si="4"/>
        <v>1666.6666666666665</v>
      </c>
    </row>
    <row r="21" spans="1:8">
      <c r="A21" s="5">
        <v>11</v>
      </c>
      <c r="B21" s="10">
        <f t="shared" si="1"/>
        <v>1666.6666666666665</v>
      </c>
      <c r="C21" s="11">
        <f t="shared" si="2"/>
        <v>1.4999999999999999E-2</v>
      </c>
      <c r="D21" s="12">
        <f t="shared" si="3"/>
        <v>24.999999999999996</v>
      </c>
      <c r="E21" s="12">
        <f t="shared" si="0"/>
        <v>333.33333333333331</v>
      </c>
      <c r="F21" s="13">
        <f t="shared" si="4"/>
        <v>1333.3333333333333</v>
      </c>
    </row>
    <row r="22" spans="1:8">
      <c r="A22" s="5">
        <v>12</v>
      </c>
      <c r="B22" s="10">
        <f t="shared" si="1"/>
        <v>1333.3333333333333</v>
      </c>
      <c r="C22" s="11">
        <f t="shared" si="2"/>
        <v>1.4999999999999999E-2</v>
      </c>
      <c r="D22" s="12">
        <f t="shared" si="3"/>
        <v>19.999999999999996</v>
      </c>
      <c r="E22" s="12">
        <f t="shared" si="0"/>
        <v>333.33333333333331</v>
      </c>
      <c r="F22" s="13">
        <f t="shared" si="4"/>
        <v>1000</v>
      </c>
    </row>
    <row r="23" spans="1:8">
      <c r="A23" s="5">
        <v>13</v>
      </c>
      <c r="B23" s="10">
        <f t="shared" si="1"/>
        <v>1000</v>
      </c>
      <c r="C23" s="11">
        <f t="shared" si="2"/>
        <v>1.4999999999999999E-2</v>
      </c>
      <c r="D23" s="12">
        <f t="shared" si="3"/>
        <v>15</v>
      </c>
      <c r="E23" s="12">
        <f t="shared" si="0"/>
        <v>333.33333333333331</v>
      </c>
      <c r="F23" s="13">
        <f t="shared" si="4"/>
        <v>666.66666666666674</v>
      </c>
    </row>
    <row r="24" spans="1:8">
      <c r="A24" s="5">
        <v>14</v>
      </c>
      <c r="B24" s="10">
        <f>F23</f>
        <v>666.66666666666674</v>
      </c>
      <c r="C24" s="11">
        <f>0.18/12</f>
        <v>1.4999999999999999E-2</v>
      </c>
      <c r="D24" s="12">
        <f>B24*C24</f>
        <v>10</v>
      </c>
      <c r="E24" s="12">
        <f t="shared" si="0"/>
        <v>333.33333333333331</v>
      </c>
      <c r="F24" s="13">
        <f>B24-E24</f>
        <v>333.33333333333343</v>
      </c>
    </row>
    <row r="25" spans="1:8">
      <c r="A25" s="5">
        <v>15</v>
      </c>
      <c r="B25" s="10">
        <f t="shared" ref="B25" si="5">F24</f>
        <v>333.33333333333343</v>
      </c>
      <c r="C25" s="11">
        <f t="shared" si="2"/>
        <v>1.4999999999999999E-2</v>
      </c>
      <c r="D25" s="12">
        <f t="shared" ref="D25" si="6">B25*C25</f>
        <v>5.0000000000000009</v>
      </c>
      <c r="E25" s="12">
        <f t="shared" si="0"/>
        <v>333.33333333333331</v>
      </c>
      <c r="F25" s="13">
        <f t="shared" ref="F25" si="7">B25-E25</f>
        <v>0</v>
      </c>
    </row>
    <row r="26" spans="1:8">
      <c r="A26" s="16" t="s">
        <v>5</v>
      </c>
      <c r="B26" s="17"/>
      <c r="C26" s="18"/>
      <c r="D26" s="19">
        <f>SUM(D11:D25)</f>
        <v>600</v>
      </c>
      <c r="E26" s="19">
        <f>SUM(E11:E25)</f>
        <v>5000</v>
      </c>
      <c r="F26" s="13"/>
    </row>
    <row r="27" spans="1:8">
      <c r="A27" s="70"/>
      <c r="B27" s="71"/>
      <c r="C27" s="18"/>
      <c r="D27" s="19"/>
      <c r="E27" s="19"/>
      <c r="F27" s="13"/>
    </row>
    <row r="28" spans="1:8">
      <c r="A28" t="s">
        <v>28</v>
      </c>
      <c r="B28" s="69">
        <v>10000</v>
      </c>
      <c r="C28" s="18"/>
      <c r="D28" s="19"/>
      <c r="E28" s="19"/>
      <c r="F28" s="13"/>
    </row>
    <row r="29" spans="1:8">
      <c r="A29" t="s">
        <v>33</v>
      </c>
      <c r="B29" s="69">
        <v>20</v>
      </c>
      <c r="C29" s="18"/>
      <c r="D29" s="19"/>
      <c r="E29" s="19"/>
      <c r="F29" s="13"/>
    </row>
    <row r="30" spans="1:8">
      <c r="A30" s="20" t="s">
        <v>9</v>
      </c>
      <c r="B30" s="6" t="s">
        <v>0</v>
      </c>
      <c r="C30" s="7" t="s">
        <v>1</v>
      </c>
      <c r="D30" s="8" t="s">
        <v>2</v>
      </c>
      <c r="E30" s="7" t="s">
        <v>3</v>
      </c>
      <c r="F30" s="9" t="s">
        <v>4</v>
      </c>
    </row>
    <row r="31" spans="1:8">
      <c r="A31" s="5">
        <v>1</v>
      </c>
      <c r="B31" s="10">
        <f>B28</f>
        <v>10000</v>
      </c>
      <c r="C31" s="11">
        <f>0.18/12</f>
        <v>1.4999999999999999E-2</v>
      </c>
      <c r="D31" s="12">
        <f>B31*C31</f>
        <v>150</v>
      </c>
      <c r="E31" s="12">
        <f>$B$28/$B$29</f>
        <v>500</v>
      </c>
      <c r="F31" s="13">
        <f>B31-E31</f>
        <v>9500</v>
      </c>
      <c r="H31" s="25">
        <f>E31+D31</f>
        <v>650</v>
      </c>
    </row>
    <row r="32" spans="1:8">
      <c r="A32" s="5">
        <v>2</v>
      </c>
      <c r="B32" s="10">
        <f>F31</f>
        <v>9500</v>
      </c>
      <c r="C32" s="11">
        <f>0.18/12</f>
        <v>1.4999999999999999E-2</v>
      </c>
      <c r="D32" s="12">
        <f>B32*C32</f>
        <v>142.5</v>
      </c>
      <c r="E32" s="12">
        <f t="shared" ref="E32:E50" si="8">$B$28/$B$29</f>
        <v>500</v>
      </c>
      <c r="F32" s="13">
        <f>B32-E32</f>
        <v>9000</v>
      </c>
    </row>
    <row r="33" spans="1:6">
      <c r="A33" s="5">
        <v>3</v>
      </c>
      <c r="B33" s="10">
        <f t="shared" ref="B33:B43" si="9">F32</f>
        <v>9000</v>
      </c>
      <c r="C33" s="11">
        <f t="shared" ref="C33:C50" si="10">0.18/12</f>
        <v>1.4999999999999999E-2</v>
      </c>
      <c r="D33" s="12">
        <f t="shared" ref="D33:D43" si="11">B33*C33</f>
        <v>135</v>
      </c>
      <c r="E33" s="12">
        <f t="shared" si="8"/>
        <v>500</v>
      </c>
      <c r="F33" s="13">
        <f t="shared" ref="F33:F43" si="12">B33-E33</f>
        <v>8500</v>
      </c>
    </row>
    <row r="34" spans="1:6">
      <c r="A34" s="5">
        <v>4</v>
      </c>
      <c r="B34" s="10">
        <f t="shared" si="9"/>
        <v>8500</v>
      </c>
      <c r="C34" s="11">
        <f t="shared" si="10"/>
        <v>1.4999999999999999E-2</v>
      </c>
      <c r="D34" s="12">
        <f t="shared" si="11"/>
        <v>127.5</v>
      </c>
      <c r="E34" s="12">
        <f t="shared" si="8"/>
        <v>500</v>
      </c>
      <c r="F34" s="13">
        <f t="shared" si="12"/>
        <v>8000</v>
      </c>
    </row>
    <row r="35" spans="1:6">
      <c r="A35" s="5">
        <v>5</v>
      </c>
      <c r="B35" s="10">
        <f t="shared" si="9"/>
        <v>8000</v>
      </c>
      <c r="C35" s="11">
        <f t="shared" si="10"/>
        <v>1.4999999999999999E-2</v>
      </c>
      <c r="D35" s="12">
        <f t="shared" si="11"/>
        <v>120</v>
      </c>
      <c r="E35" s="12">
        <f t="shared" si="8"/>
        <v>500</v>
      </c>
      <c r="F35" s="13">
        <f t="shared" si="12"/>
        <v>7500</v>
      </c>
    </row>
    <row r="36" spans="1:6">
      <c r="A36" s="5">
        <v>6</v>
      </c>
      <c r="B36" s="10">
        <f t="shared" si="9"/>
        <v>7500</v>
      </c>
      <c r="C36" s="11">
        <f t="shared" si="10"/>
        <v>1.4999999999999999E-2</v>
      </c>
      <c r="D36" s="12">
        <f t="shared" si="11"/>
        <v>112.5</v>
      </c>
      <c r="E36" s="12">
        <f t="shared" si="8"/>
        <v>500</v>
      </c>
      <c r="F36" s="13">
        <f t="shared" si="12"/>
        <v>7000</v>
      </c>
    </row>
    <row r="37" spans="1:6">
      <c r="A37" s="5">
        <v>7</v>
      </c>
      <c r="B37" s="10">
        <f t="shared" si="9"/>
        <v>7000</v>
      </c>
      <c r="C37" s="11">
        <f t="shared" si="10"/>
        <v>1.4999999999999999E-2</v>
      </c>
      <c r="D37" s="12">
        <f t="shared" si="11"/>
        <v>105</v>
      </c>
      <c r="E37" s="12">
        <f t="shared" si="8"/>
        <v>500</v>
      </c>
      <c r="F37" s="13">
        <f t="shared" si="12"/>
        <v>6500</v>
      </c>
    </row>
    <row r="38" spans="1:6">
      <c r="A38" s="5">
        <v>8</v>
      </c>
      <c r="B38" s="10">
        <f t="shared" si="9"/>
        <v>6500</v>
      </c>
      <c r="C38" s="11">
        <f t="shared" si="10"/>
        <v>1.4999999999999999E-2</v>
      </c>
      <c r="D38" s="12">
        <f t="shared" si="11"/>
        <v>97.5</v>
      </c>
      <c r="E38" s="12">
        <f t="shared" si="8"/>
        <v>500</v>
      </c>
      <c r="F38" s="13">
        <f t="shared" si="12"/>
        <v>6000</v>
      </c>
    </row>
    <row r="39" spans="1:6">
      <c r="A39" s="5">
        <v>9</v>
      </c>
      <c r="B39" s="10">
        <f t="shared" si="9"/>
        <v>6000</v>
      </c>
      <c r="C39" s="11">
        <f t="shared" si="10"/>
        <v>1.4999999999999999E-2</v>
      </c>
      <c r="D39" s="12">
        <f t="shared" si="11"/>
        <v>90</v>
      </c>
      <c r="E39" s="12">
        <f t="shared" si="8"/>
        <v>500</v>
      </c>
      <c r="F39" s="13">
        <f t="shared" si="12"/>
        <v>5500</v>
      </c>
    </row>
    <row r="40" spans="1:6">
      <c r="A40" s="5">
        <v>10</v>
      </c>
      <c r="B40" s="10">
        <f t="shared" si="9"/>
        <v>5500</v>
      </c>
      <c r="C40" s="11">
        <f t="shared" si="10"/>
        <v>1.4999999999999999E-2</v>
      </c>
      <c r="D40" s="12">
        <f t="shared" si="11"/>
        <v>82.5</v>
      </c>
      <c r="E40" s="12">
        <f t="shared" si="8"/>
        <v>500</v>
      </c>
      <c r="F40" s="13">
        <f t="shared" si="12"/>
        <v>5000</v>
      </c>
    </row>
    <row r="41" spans="1:6">
      <c r="A41" s="5">
        <v>11</v>
      </c>
      <c r="B41" s="10">
        <f t="shared" si="9"/>
        <v>5000</v>
      </c>
      <c r="C41" s="11">
        <f t="shared" si="10"/>
        <v>1.4999999999999999E-2</v>
      </c>
      <c r="D41" s="12">
        <f t="shared" si="11"/>
        <v>75</v>
      </c>
      <c r="E41" s="12">
        <f t="shared" si="8"/>
        <v>500</v>
      </c>
      <c r="F41" s="13">
        <f t="shared" si="12"/>
        <v>4500</v>
      </c>
    </row>
    <row r="42" spans="1:6">
      <c r="A42" s="5">
        <v>12</v>
      </c>
      <c r="B42" s="10">
        <f t="shared" si="9"/>
        <v>4500</v>
      </c>
      <c r="C42" s="11">
        <f t="shared" si="10"/>
        <v>1.4999999999999999E-2</v>
      </c>
      <c r="D42" s="12">
        <f t="shared" si="11"/>
        <v>67.5</v>
      </c>
      <c r="E42" s="12">
        <f t="shared" si="8"/>
        <v>500</v>
      </c>
      <c r="F42" s="13">
        <f t="shared" si="12"/>
        <v>4000</v>
      </c>
    </row>
    <row r="43" spans="1:6">
      <c r="A43" s="5">
        <v>13</v>
      </c>
      <c r="B43" s="10">
        <f t="shared" si="9"/>
        <v>4000</v>
      </c>
      <c r="C43" s="11">
        <f t="shared" si="10"/>
        <v>1.4999999999999999E-2</v>
      </c>
      <c r="D43" s="12">
        <f t="shared" si="11"/>
        <v>60</v>
      </c>
      <c r="E43" s="12">
        <f t="shared" si="8"/>
        <v>500</v>
      </c>
      <c r="F43" s="13">
        <f t="shared" si="12"/>
        <v>3500</v>
      </c>
    </row>
    <row r="44" spans="1:6">
      <c r="A44" s="5">
        <v>14</v>
      </c>
      <c r="B44" s="10">
        <f>F43</f>
        <v>3500</v>
      </c>
      <c r="C44" s="11">
        <f>0.18/12</f>
        <v>1.4999999999999999E-2</v>
      </c>
      <c r="D44" s="12">
        <f>B44*C44</f>
        <v>52.5</v>
      </c>
      <c r="E44" s="12">
        <f t="shared" si="8"/>
        <v>500</v>
      </c>
      <c r="F44" s="13">
        <f>B44-E44</f>
        <v>3000</v>
      </c>
    </row>
    <row r="45" spans="1:6">
      <c r="A45" s="5">
        <v>15</v>
      </c>
      <c r="B45" s="10">
        <f t="shared" ref="B45:B50" si="13">F44</f>
        <v>3000</v>
      </c>
      <c r="C45" s="11">
        <f t="shared" si="10"/>
        <v>1.4999999999999999E-2</v>
      </c>
      <c r="D45" s="12">
        <f t="shared" ref="D45:D50" si="14">B45*C45</f>
        <v>45</v>
      </c>
      <c r="E45" s="12">
        <f t="shared" si="8"/>
        <v>500</v>
      </c>
      <c r="F45" s="13">
        <f t="shared" ref="F45:F50" si="15">B45-E45</f>
        <v>2500</v>
      </c>
    </row>
    <row r="46" spans="1:6">
      <c r="A46" s="5">
        <v>16</v>
      </c>
      <c r="B46" s="10">
        <f t="shared" si="13"/>
        <v>2500</v>
      </c>
      <c r="C46" s="11">
        <f t="shared" si="10"/>
        <v>1.4999999999999999E-2</v>
      </c>
      <c r="D46" s="12">
        <f t="shared" si="14"/>
        <v>37.5</v>
      </c>
      <c r="E46" s="12">
        <f t="shared" si="8"/>
        <v>500</v>
      </c>
      <c r="F46" s="13">
        <f t="shared" si="15"/>
        <v>2000</v>
      </c>
    </row>
    <row r="47" spans="1:6">
      <c r="A47" s="5">
        <v>17</v>
      </c>
      <c r="B47" s="10">
        <f t="shared" si="13"/>
        <v>2000</v>
      </c>
      <c r="C47" s="11">
        <f t="shared" si="10"/>
        <v>1.4999999999999999E-2</v>
      </c>
      <c r="D47" s="12">
        <f t="shared" si="14"/>
        <v>30</v>
      </c>
      <c r="E47" s="12">
        <f t="shared" si="8"/>
        <v>500</v>
      </c>
      <c r="F47" s="13">
        <f t="shared" si="15"/>
        <v>1500</v>
      </c>
    </row>
    <row r="48" spans="1:6">
      <c r="A48" s="5">
        <v>18</v>
      </c>
      <c r="B48" s="10">
        <f t="shared" si="13"/>
        <v>1500</v>
      </c>
      <c r="C48" s="11">
        <f t="shared" si="10"/>
        <v>1.4999999999999999E-2</v>
      </c>
      <c r="D48" s="12">
        <f t="shared" si="14"/>
        <v>22.5</v>
      </c>
      <c r="E48" s="12">
        <f t="shared" si="8"/>
        <v>500</v>
      </c>
      <c r="F48" s="13">
        <f t="shared" si="15"/>
        <v>1000</v>
      </c>
    </row>
    <row r="49" spans="1:8">
      <c r="A49" s="5">
        <v>19</v>
      </c>
      <c r="B49" s="10">
        <f t="shared" si="13"/>
        <v>1000</v>
      </c>
      <c r="C49" s="11">
        <f t="shared" si="10"/>
        <v>1.4999999999999999E-2</v>
      </c>
      <c r="D49" s="12">
        <f t="shared" si="14"/>
        <v>15</v>
      </c>
      <c r="E49" s="12">
        <f t="shared" si="8"/>
        <v>500</v>
      </c>
      <c r="F49" s="13">
        <f t="shared" si="15"/>
        <v>500</v>
      </c>
    </row>
    <row r="50" spans="1:8">
      <c r="A50" s="5">
        <v>20</v>
      </c>
      <c r="B50" s="10">
        <f t="shared" si="13"/>
        <v>500</v>
      </c>
      <c r="C50" s="11">
        <f t="shared" si="10"/>
        <v>1.4999999999999999E-2</v>
      </c>
      <c r="D50" s="12">
        <f t="shared" si="14"/>
        <v>7.5</v>
      </c>
      <c r="E50" s="12">
        <f t="shared" si="8"/>
        <v>500</v>
      </c>
      <c r="F50" s="13">
        <f t="shared" si="15"/>
        <v>0</v>
      </c>
    </row>
    <row r="51" spans="1:8">
      <c r="A51" s="16" t="s">
        <v>5</v>
      </c>
      <c r="B51" s="17"/>
      <c r="C51" s="18"/>
      <c r="D51" s="19">
        <f>SUM(D31:D50)</f>
        <v>1575</v>
      </c>
      <c r="E51" s="19">
        <f>SUM(E31:E50)</f>
        <v>10000</v>
      </c>
      <c r="F51" s="13"/>
    </row>
    <row r="52" spans="1:8">
      <c r="A52" s="16"/>
      <c r="B52" s="17"/>
      <c r="C52" s="18"/>
      <c r="D52" s="19"/>
      <c r="E52" s="19"/>
      <c r="F52" s="13"/>
    </row>
    <row r="53" spans="1:8">
      <c r="A53" t="s">
        <v>28</v>
      </c>
      <c r="B53" s="69">
        <v>20000</v>
      </c>
      <c r="C53" s="18"/>
      <c r="D53" s="19"/>
      <c r="E53" s="19"/>
      <c r="F53" s="13"/>
    </row>
    <row r="54" spans="1:8">
      <c r="A54" t="s">
        <v>33</v>
      </c>
      <c r="B54" s="69">
        <v>20</v>
      </c>
      <c r="C54" s="18"/>
      <c r="D54" s="19"/>
      <c r="E54" s="19"/>
      <c r="F54" s="13"/>
    </row>
    <row r="55" spans="1:8">
      <c r="A55" s="20" t="s">
        <v>9</v>
      </c>
      <c r="B55" s="6" t="s">
        <v>0</v>
      </c>
      <c r="C55" s="7" t="s">
        <v>1</v>
      </c>
      <c r="D55" s="8" t="s">
        <v>2</v>
      </c>
      <c r="E55" s="7" t="s">
        <v>3</v>
      </c>
      <c r="F55" s="9" t="s">
        <v>4</v>
      </c>
    </row>
    <row r="56" spans="1:8">
      <c r="A56" s="5">
        <v>1</v>
      </c>
      <c r="B56" s="10">
        <v>20000</v>
      </c>
      <c r="C56" s="11">
        <f>0.18/12</f>
        <v>1.4999999999999999E-2</v>
      </c>
      <c r="D56" s="12">
        <f>B56*C56</f>
        <v>300</v>
      </c>
      <c r="E56" s="12">
        <f>$B$56/20</f>
        <v>1000</v>
      </c>
      <c r="F56" s="13">
        <f>B56-E56</f>
        <v>19000</v>
      </c>
      <c r="H56" s="25">
        <f>E56+D56</f>
        <v>1300</v>
      </c>
    </row>
    <row r="57" spans="1:8">
      <c r="A57" s="5">
        <v>2</v>
      </c>
      <c r="B57" s="10">
        <f>F56</f>
        <v>19000</v>
      </c>
      <c r="C57" s="11">
        <f>0.18/12</f>
        <v>1.4999999999999999E-2</v>
      </c>
      <c r="D57" s="12">
        <f>B57*C57</f>
        <v>285</v>
      </c>
      <c r="E57" s="12">
        <f t="shared" ref="E57:E75" si="16">$B$56/20</f>
        <v>1000</v>
      </c>
      <c r="F57" s="13">
        <f>B57-E57</f>
        <v>18000</v>
      </c>
    </row>
    <row r="58" spans="1:8">
      <c r="A58" s="5">
        <v>3</v>
      </c>
      <c r="B58" s="10">
        <f t="shared" ref="B58:B68" si="17">F57</f>
        <v>18000</v>
      </c>
      <c r="C58" s="11">
        <f t="shared" ref="C58:C75" si="18">0.18/12</f>
        <v>1.4999999999999999E-2</v>
      </c>
      <c r="D58" s="12">
        <f t="shared" ref="D58:D68" si="19">B58*C58</f>
        <v>270</v>
      </c>
      <c r="E58" s="12">
        <f t="shared" si="16"/>
        <v>1000</v>
      </c>
      <c r="F58" s="13">
        <f t="shared" ref="F58:F68" si="20">B58-E58</f>
        <v>17000</v>
      </c>
    </row>
    <row r="59" spans="1:8">
      <c r="A59" s="5">
        <v>4</v>
      </c>
      <c r="B59" s="10">
        <f t="shared" si="17"/>
        <v>17000</v>
      </c>
      <c r="C59" s="11">
        <f t="shared" si="18"/>
        <v>1.4999999999999999E-2</v>
      </c>
      <c r="D59" s="12">
        <f t="shared" si="19"/>
        <v>255</v>
      </c>
      <c r="E59" s="12">
        <f t="shared" si="16"/>
        <v>1000</v>
      </c>
      <c r="F59" s="13">
        <f t="shared" si="20"/>
        <v>16000</v>
      </c>
    </row>
    <row r="60" spans="1:8">
      <c r="A60" s="5">
        <v>5</v>
      </c>
      <c r="B60" s="10">
        <f t="shared" si="17"/>
        <v>16000</v>
      </c>
      <c r="C60" s="11">
        <f t="shared" si="18"/>
        <v>1.4999999999999999E-2</v>
      </c>
      <c r="D60" s="12">
        <f t="shared" si="19"/>
        <v>240</v>
      </c>
      <c r="E60" s="12">
        <f t="shared" si="16"/>
        <v>1000</v>
      </c>
      <c r="F60" s="13">
        <f t="shared" si="20"/>
        <v>15000</v>
      </c>
    </row>
    <row r="61" spans="1:8">
      <c r="A61" s="5">
        <v>6</v>
      </c>
      <c r="B61" s="10">
        <f t="shared" si="17"/>
        <v>15000</v>
      </c>
      <c r="C61" s="11">
        <f t="shared" si="18"/>
        <v>1.4999999999999999E-2</v>
      </c>
      <c r="D61" s="12">
        <f t="shared" si="19"/>
        <v>225</v>
      </c>
      <c r="E61" s="12">
        <f t="shared" si="16"/>
        <v>1000</v>
      </c>
      <c r="F61" s="13">
        <f t="shared" si="20"/>
        <v>14000</v>
      </c>
    </row>
    <row r="62" spans="1:8">
      <c r="A62" s="5">
        <v>7</v>
      </c>
      <c r="B62" s="10">
        <f t="shared" si="17"/>
        <v>14000</v>
      </c>
      <c r="C62" s="11">
        <f t="shared" si="18"/>
        <v>1.4999999999999999E-2</v>
      </c>
      <c r="D62" s="12">
        <f t="shared" si="19"/>
        <v>210</v>
      </c>
      <c r="E62" s="12">
        <f t="shared" si="16"/>
        <v>1000</v>
      </c>
      <c r="F62" s="13">
        <f t="shared" si="20"/>
        <v>13000</v>
      </c>
    </row>
    <row r="63" spans="1:8">
      <c r="A63" s="5">
        <v>8</v>
      </c>
      <c r="B63" s="10">
        <f t="shared" si="17"/>
        <v>13000</v>
      </c>
      <c r="C63" s="11">
        <f t="shared" si="18"/>
        <v>1.4999999999999999E-2</v>
      </c>
      <c r="D63" s="12">
        <f t="shared" si="19"/>
        <v>195</v>
      </c>
      <c r="E63" s="12">
        <f t="shared" si="16"/>
        <v>1000</v>
      </c>
      <c r="F63" s="13">
        <f t="shared" si="20"/>
        <v>12000</v>
      </c>
    </row>
    <row r="64" spans="1:8">
      <c r="A64" s="5">
        <v>9</v>
      </c>
      <c r="B64" s="10">
        <f t="shared" si="17"/>
        <v>12000</v>
      </c>
      <c r="C64" s="11">
        <f t="shared" si="18"/>
        <v>1.4999999999999999E-2</v>
      </c>
      <c r="D64" s="12">
        <f t="shared" si="19"/>
        <v>180</v>
      </c>
      <c r="E64" s="12">
        <f t="shared" si="16"/>
        <v>1000</v>
      </c>
      <c r="F64" s="13">
        <f t="shared" si="20"/>
        <v>11000</v>
      </c>
    </row>
    <row r="65" spans="1:6">
      <c r="A65" s="5">
        <v>10</v>
      </c>
      <c r="B65" s="10">
        <f t="shared" si="17"/>
        <v>11000</v>
      </c>
      <c r="C65" s="11">
        <f t="shared" si="18"/>
        <v>1.4999999999999999E-2</v>
      </c>
      <c r="D65" s="12">
        <f t="shared" si="19"/>
        <v>165</v>
      </c>
      <c r="E65" s="12">
        <f t="shared" si="16"/>
        <v>1000</v>
      </c>
      <c r="F65" s="13">
        <f t="shared" si="20"/>
        <v>10000</v>
      </c>
    </row>
    <row r="66" spans="1:6">
      <c r="A66" s="5">
        <v>11</v>
      </c>
      <c r="B66" s="10">
        <f t="shared" si="17"/>
        <v>10000</v>
      </c>
      <c r="C66" s="11">
        <f t="shared" si="18"/>
        <v>1.4999999999999999E-2</v>
      </c>
      <c r="D66" s="12">
        <f t="shared" si="19"/>
        <v>150</v>
      </c>
      <c r="E66" s="12">
        <f t="shared" si="16"/>
        <v>1000</v>
      </c>
      <c r="F66" s="13">
        <f t="shared" si="20"/>
        <v>9000</v>
      </c>
    </row>
    <row r="67" spans="1:6">
      <c r="A67" s="5">
        <v>12</v>
      </c>
      <c r="B67" s="10">
        <f t="shared" si="17"/>
        <v>9000</v>
      </c>
      <c r="C67" s="11">
        <f t="shared" si="18"/>
        <v>1.4999999999999999E-2</v>
      </c>
      <c r="D67" s="12">
        <f t="shared" si="19"/>
        <v>135</v>
      </c>
      <c r="E67" s="12">
        <f t="shared" si="16"/>
        <v>1000</v>
      </c>
      <c r="F67" s="13">
        <f t="shared" si="20"/>
        <v>8000</v>
      </c>
    </row>
    <row r="68" spans="1:6">
      <c r="A68" s="5">
        <v>13</v>
      </c>
      <c r="B68" s="10">
        <f t="shared" si="17"/>
        <v>8000</v>
      </c>
      <c r="C68" s="11">
        <f t="shared" si="18"/>
        <v>1.4999999999999999E-2</v>
      </c>
      <c r="D68" s="12">
        <f t="shared" si="19"/>
        <v>120</v>
      </c>
      <c r="E68" s="12">
        <f t="shared" si="16"/>
        <v>1000</v>
      </c>
      <c r="F68" s="13">
        <f t="shared" si="20"/>
        <v>7000</v>
      </c>
    </row>
    <row r="69" spans="1:6">
      <c r="A69" s="5">
        <v>14</v>
      </c>
      <c r="B69" s="10">
        <f>F68</f>
        <v>7000</v>
      </c>
      <c r="C69" s="11">
        <f>0.18/12</f>
        <v>1.4999999999999999E-2</v>
      </c>
      <c r="D69" s="12">
        <f>B69*C69</f>
        <v>105</v>
      </c>
      <c r="E69" s="12">
        <f t="shared" si="16"/>
        <v>1000</v>
      </c>
      <c r="F69" s="13">
        <f>B69-E69</f>
        <v>6000</v>
      </c>
    </row>
    <row r="70" spans="1:6">
      <c r="A70" s="5">
        <v>15</v>
      </c>
      <c r="B70" s="10">
        <f t="shared" ref="B70:B75" si="21">F69</f>
        <v>6000</v>
      </c>
      <c r="C70" s="11">
        <f t="shared" si="18"/>
        <v>1.4999999999999999E-2</v>
      </c>
      <c r="D70" s="12">
        <f t="shared" ref="D70:D75" si="22">B70*C70</f>
        <v>90</v>
      </c>
      <c r="E70" s="12">
        <f t="shared" si="16"/>
        <v>1000</v>
      </c>
      <c r="F70" s="13">
        <f t="shared" ref="F70:F75" si="23">B70-E70</f>
        <v>5000</v>
      </c>
    </row>
    <row r="71" spans="1:6">
      <c r="A71" s="5">
        <v>16</v>
      </c>
      <c r="B71" s="10">
        <f t="shared" si="21"/>
        <v>5000</v>
      </c>
      <c r="C71" s="11">
        <f t="shared" si="18"/>
        <v>1.4999999999999999E-2</v>
      </c>
      <c r="D71" s="12">
        <f t="shared" si="22"/>
        <v>75</v>
      </c>
      <c r="E71" s="12">
        <f t="shared" si="16"/>
        <v>1000</v>
      </c>
      <c r="F71" s="13">
        <f t="shared" si="23"/>
        <v>4000</v>
      </c>
    </row>
    <row r="72" spans="1:6">
      <c r="A72" s="5">
        <v>17</v>
      </c>
      <c r="B72" s="10">
        <f t="shared" si="21"/>
        <v>4000</v>
      </c>
      <c r="C72" s="11">
        <f t="shared" si="18"/>
        <v>1.4999999999999999E-2</v>
      </c>
      <c r="D72" s="12">
        <f t="shared" si="22"/>
        <v>60</v>
      </c>
      <c r="E72" s="12">
        <f t="shared" si="16"/>
        <v>1000</v>
      </c>
      <c r="F72" s="13">
        <f t="shared" si="23"/>
        <v>3000</v>
      </c>
    </row>
    <row r="73" spans="1:6">
      <c r="A73" s="5">
        <v>18</v>
      </c>
      <c r="B73" s="10">
        <f t="shared" si="21"/>
        <v>3000</v>
      </c>
      <c r="C73" s="11">
        <f t="shared" si="18"/>
        <v>1.4999999999999999E-2</v>
      </c>
      <c r="D73" s="12">
        <f t="shared" si="22"/>
        <v>45</v>
      </c>
      <c r="E73" s="12">
        <f t="shared" si="16"/>
        <v>1000</v>
      </c>
      <c r="F73" s="13">
        <f t="shared" si="23"/>
        <v>2000</v>
      </c>
    </row>
    <row r="74" spans="1:6">
      <c r="A74" s="5">
        <v>19</v>
      </c>
      <c r="B74" s="10">
        <f t="shared" si="21"/>
        <v>2000</v>
      </c>
      <c r="C74" s="11">
        <f t="shared" si="18"/>
        <v>1.4999999999999999E-2</v>
      </c>
      <c r="D74" s="12">
        <f t="shared" si="22"/>
        <v>30</v>
      </c>
      <c r="E74" s="12">
        <f t="shared" si="16"/>
        <v>1000</v>
      </c>
      <c r="F74" s="13">
        <f t="shared" si="23"/>
        <v>1000</v>
      </c>
    </row>
    <row r="75" spans="1:6">
      <c r="A75" s="5">
        <v>20</v>
      </c>
      <c r="B75" s="10">
        <f t="shared" si="21"/>
        <v>1000</v>
      </c>
      <c r="C75" s="11">
        <f t="shared" si="18"/>
        <v>1.4999999999999999E-2</v>
      </c>
      <c r="D75" s="12">
        <f t="shared" si="22"/>
        <v>15</v>
      </c>
      <c r="E75" s="12">
        <f t="shared" si="16"/>
        <v>1000</v>
      </c>
      <c r="F75" s="13">
        <f t="shared" si="23"/>
        <v>0</v>
      </c>
    </row>
    <row r="76" spans="1:6">
      <c r="A76" s="16" t="s">
        <v>5</v>
      </c>
      <c r="B76" s="17"/>
      <c r="C76" s="18"/>
      <c r="D76" s="19">
        <f>SUM(D56:D75)</f>
        <v>3150</v>
      </c>
      <c r="E76" s="19">
        <f>SUM(E56:E75)</f>
        <v>20000</v>
      </c>
      <c r="F76" s="13"/>
    </row>
    <row r="77" spans="1:6">
      <c r="B77" s="14"/>
      <c r="C77" s="14"/>
      <c r="D77" s="15"/>
      <c r="E77" s="14"/>
      <c r="F77" s="14"/>
    </row>
    <row r="78" spans="1:6">
      <c r="A78" t="s">
        <v>28</v>
      </c>
      <c r="B78" s="69">
        <v>50000</v>
      </c>
      <c r="C78" s="18"/>
      <c r="D78" s="19"/>
      <c r="E78" s="19"/>
      <c r="F78" s="13"/>
    </row>
    <row r="79" spans="1:6">
      <c r="A79" t="s">
        <v>33</v>
      </c>
      <c r="B79" s="69">
        <v>25</v>
      </c>
      <c r="C79" s="18"/>
      <c r="D79" s="19"/>
      <c r="E79" s="19"/>
      <c r="F79" s="13"/>
    </row>
    <row r="80" spans="1:6">
      <c r="A80" s="20" t="s">
        <v>9</v>
      </c>
      <c r="B80" s="6" t="s">
        <v>0</v>
      </c>
      <c r="C80" s="7" t="s">
        <v>1</v>
      </c>
      <c r="D80" s="8" t="s">
        <v>2</v>
      </c>
      <c r="E80" s="7" t="s">
        <v>3</v>
      </c>
      <c r="F80" s="9" t="s">
        <v>4</v>
      </c>
    </row>
    <row r="81" spans="1:8">
      <c r="A81" s="5">
        <v>1</v>
      </c>
      <c r="B81" s="10">
        <f>B78</f>
        <v>50000</v>
      </c>
      <c r="C81" s="11">
        <f>0.18/12</f>
        <v>1.4999999999999999E-2</v>
      </c>
      <c r="D81" s="12">
        <f>B81*C81</f>
        <v>750</v>
      </c>
      <c r="E81" s="12">
        <f>$B$78/$B$79</f>
        <v>2000</v>
      </c>
      <c r="F81" s="13">
        <f>B81-E81</f>
        <v>48000</v>
      </c>
      <c r="H81" s="25">
        <f>E81+D81</f>
        <v>2750</v>
      </c>
    </row>
    <row r="82" spans="1:8">
      <c r="A82" s="5">
        <v>2</v>
      </c>
      <c r="B82" s="10">
        <f>F81</f>
        <v>48000</v>
      </c>
      <c r="C82" s="11">
        <f>0.18/12</f>
        <v>1.4999999999999999E-2</v>
      </c>
      <c r="D82" s="12">
        <f>B82*C82</f>
        <v>720</v>
      </c>
      <c r="E82" s="12">
        <f t="shared" ref="E82:E105" si="24">$B$78/$B$79</f>
        <v>2000</v>
      </c>
      <c r="F82" s="13">
        <f>B82-E82</f>
        <v>46000</v>
      </c>
    </row>
    <row r="83" spans="1:8">
      <c r="A83" s="5">
        <v>3</v>
      </c>
      <c r="B83" s="10">
        <f t="shared" ref="B83:B93" si="25">F82</f>
        <v>46000</v>
      </c>
      <c r="C83" s="11">
        <f t="shared" ref="C83:C105" si="26">0.18/12</f>
        <v>1.4999999999999999E-2</v>
      </c>
      <c r="D83" s="12">
        <f t="shared" ref="D83:D93" si="27">B83*C83</f>
        <v>690</v>
      </c>
      <c r="E83" s="12">
        <f t="shared" si="24"/>
        <v>2000</v>
      </c>
      <c r="F83" s="13">
        <f t="shared" ref="F83:F93" si="28">B83-E83</f>
        <v>44000</v>
      </c>
    </row>
    <row r="84" spans="1:8">
      <c r="A84" s="5">
        <v>4</v>
      </c>
      <c r="B84" s="10">
        <f t="shared" si="25"/>
        <v>44000</v>
      </c>
      <c r="C84" s="11">
        <f t="shared" si="26"/>
        <v>1.4999999999999999E-2</v>
      </c>
      <c r="D84" s="12">
        <f t="shared" si="27"/>
        <v>660</v>
      </c>
      <c r="E84" s="12">
        <f t="shared" si="24"/>
        <v>2000</v>
      </c>
      <c r="F84" s="13">
        <f t="shared" si="28"/>
        <v>42000</v>
      </c>
    </row>
    <row r="85" spans="1:8">
      <c r="A85" s="5">
        <v>5</v>
      </c>
      <c r="B85" s="10">
        <f t="shared" si="25"/>
        <v>42000</v>
      </c>
      <c r="C85" s="11">
        <f t="shared" si="26"/>
        <v>1.4999999999999999E-2</v>
      </c>
      <c r="D85" s="12">
        <f t="shared" si="27"/>
        <v>630</v>
      </c>
      <c r="E85" s="12">
        <f t="shared" si="24"/>
        <v>2000</v>
      </c>
      <c r="F85" s="13">
        <f t="shared" si="28"/>
        <v>40000</v>
      </c>
    </row>
    <row r="86" spans="1:8">
      <c r="A86" s="5">
        <v>6</v>
      </c>
      <c r="B86" s="10">
        <f t="shared" si="25"/>
        <v>40000</v>
      </c>
      <c r="C86" s="11">
        <f t="shared" si="26"/>
        <v>1.4999999999999999E-2</v>
      </c>
      <c r="D86" s="12">
        <f t="shared" si="27"/>
        <v>600</v>
      </c>
      <c r="E86" s="12">
        <f t="shared" si="24"/>
        <v>2000</v>
      </c>
      <c r="F86" s="13">
        <f t="shared" si="28"/>
        <v>38000</v>
      </c>
    </row>
    <row r="87" spans="1:8">
      <c r="A87" s="5">
        <v>7</v>
      </c>
      <c r="B87" s="10">
        <f t="shared" si="25"/>
        <v>38000</v>
      </c>
      <c r="C87" s="11">
        <f t="shared" si="26"/>
        <v>1.4999999999999999E-2</v>
      </c>
      <c r="D87" s="12">
        <f t="shared" si="27"/>
        <v>570</v>
      </c>
      <c r="E87" s="12">
        <f t="shared" si="24"/>
        <v>2000</v>
      </c>
      <c r="F87" s="13">
        <f t="shared" si="28"/>
        <v>36000</v>
      </c>
    </row>
    <row r="88" spans="1:8">
      <c r="A88" s="5">
        <v>8</v>
      </c>
      <c r="B88" s="10">
        <f t="shared" si="25"/>
        <v>36000</v>
      </c>
      <c r="C88" s="11">
        <f t="shared" si="26"/>
        <v>1.4999999999999999E-2</v>
      </c>
      <c r="D88" s="12">
        <f t="shared" si="27"/>
        <v>540</v>
      </c>
      <c r="E88" s="12">
        <f t="shared" si="24"/>
        <v>2000</v>
      </c>
      <c r="F88" s="13">
        <f t="shared" si="28"/>
        <v>34000</v>
      </c>
    </row>
    <row r="89" spans="1:8">
      <c r="A89" s="5">
        <v>9</v>
      </c>
      <c r="B89" s="10">
        <f t="shared" si="25"/>
        <v>34000</v>
      </c>
      <c r="C89" s="11">
        <f t="shared" si="26"/>
        <v>1.4999999999999999E-2</v>
      </c>
      <c r="D89" s="12">
        <f t="shared" si="27"/>
        <v>510</v>
      </c>
      <c r="E89" s="12">
        <f t="shared" si="24"/>
        <v>2000</v>
      </c>
      <c r="F89" s="13">
        <f t="shared" si="28"/>
        <v>32000</v>
      </c>
    </row>
    <row r="90" spans="1:8">
      <c r="A90" s="5">
        <v>10</v>
      </c>
      <c r="B90" s="10">
        <f t="shared" si="25"/>
        <v>32000</v>
      </c>
      <c r="C90" s="11">
        <f t="shared" si="26"/>
        <v>1.4999999999999999E-2</v>
      </c>
      <c r="D90" s="12">
        <f t="shared" si="27"/>
        <v>480</v>
      </c>
      <c r="E90" s="12">
        <f t="shared" si="24"/>
        <v>2000</v>
      </c>
      <c r="F90" s="13">
        <f t="shared" si="28"/>
        <v>30000</v>
      </c>
    </row>
    <row r="91" spans="1:8">
      <c r="A91" s="5">
        <v>11</v>
      </c>
      <c r="B91" s="10">
        <f t="shared" si="25"/>
        <v>30000</v>
      </c>
      <c r="C91" s="11">
        <f t="shared" si="26"/>
        <v>1.4999999999999999E-2</v>
      </c>
      <c r="D91" s="12">
        <f t="shared" si="27"/>
        <v>450</v>
      </c>
      <c r="E91" s="12">
        <f t="shared" si="24"/>
        <v>2000</v>
      </c>
      <c r="F91" s="13">
        <f t="shared" si="28"/>
        <v>28000</v>
      </c>
    </row>
    <row r="92" spans="1:8">
      <c r="A92" s="5">
        <v>12</v>
      </c>
      <c r="B92" s="10">
        <f t="shared" si="25"/>
        <v>28000</v>
      </c>
      <c r="C92" s="11">
        <f t="shared" si="26"/>
        <v>1.4999999999999999E-2</v>
      </c>
      <c r="D92" s="12">
        <f t="shared" si="27"/>
        <v>420</v>
      </c>
      <c r="E92" s="12">
        <f t="shared" si="24"/>
        <v>2000</v>
      </c>
      <c r="F92" s="13">
        <f t="shared" si="28"/>
        <v>26000</v>
      </c>
    </row>
    <row r="93" spans="1:8">
      <c r="A93" s="5">
        <v>13</v>
      </c>
      <c r="B93" s="10">
        <f t="shared" si="25"/>
        <v>26000</v>
      </c>
      <c r="C93" s="11">
        <f t="shared" si="26"/>
        <v>1.4999999999999999E-2</v>
      </c>
      <c r="D93" s="12">
        <f t="shared" si="27"/>
        <v>390</v>
      </c>
      <c r="E93" s="12">
        <f t="shared" si="24"/>
        <v>2000</v>
      </c>
      <c r="F93" s="13">
        <f t="shared" si="28"/>
        <v>24000</v>
      </c>
    </row>
    <row r="94" spans="1:8">
      <c r="A94" s="5">
        <v>14</v>
      </c>
      <c r="B94" s="10">
        <f>F93</f>
        <v>24000</v>
      </c>
      <c r="C94" s="11">
        <f>0.18/12</f>
        <v>1.4999999999999999E-2</v>
      </c>
      <c r="D94" s="12">
        <f>B94*C94</f>
        <v>360</v>
      </c>
      <c r="E94" s="12">
        <f t="shared" si="24"/>
        <v>2000</v>
      </c>
      <c r="F94" s="13">
        <f>B94-E94</f>
        <v>22000</v>
      </c>
    </row>
    <row r="95" spans="1:8">
      <c r="A95" s="5">
        <v>15</v>
      </c>
      <c r="B95" s="10">
        <f t="shared" ref="B95:B100" si="29">F94</f>
        <v>22000</v>
      </c>
      <c r="C95" s="11">
        <f t="shared" si="26"/>
        <v>1.4999999999999999E-2</v>
      </c>
      <c r="D95" s="12">
        <f t="shared" ref="D95:D100" si="30">B95*C95</f>
        <v>330</v>
      </c>
      <c r="E95" s="12">
        <f t="shared" si="24"/>
        <v>2000</v>
      </c>
      <c r="F95" s="13">
        <f t="shared" ref="F95:F100" si="31">B95-E95</f>
        <v>20000</v>
      </c>
    </row>
    <row r="96" spans="1:8">
      <c r="A96" s="5">
        <v>16</v>
      </c>
      <c r="B96" s="10">
        <f t="shared" si="29"/>
        <v>20000</v>
      </c>
      <c r="C96" s="11">
        <f t="shared" si="26"/>
        <v>1.4999999999999999E-2</v>
      </c>
      <c r="D96" s="12">
        <f t="shared" si="30"/>
        <v>300</v>
      </c>
      <c r="E96" s="12">
        <f t="shared" si="24"/>
        <v>2000</v>
      </c>
      <c r="F96" s="13">
        <f t="shared" si="31"/>
        <v>18000</v>
      </c>
    </row>
    <row r="97" spans="1:8">
      <c r="A97" s="5">
        <v>17</v>
      </c>
      <c r="B97" s="10">
        <f t="shared" si="29"/>
        <v>18000</v>
      </c>
      <c r="C97" s="11">
        <f t="shared" si="26"/>
        <v>1.4999999999999999E-2</v>
      </c>
      <c r="D97" s="12">
        <f t="shared" si="30"/>
        <v>270</v>
      </c>
      <c r="E97" s="12">
        <f t="shared" si="24"/>
        <v>2000</v>
      </c>
      <c r="F97" s="13">
        <f t="shared" si="31"/>
        <v>16000</v>
      </c>
    </row>
    <row r="98" spans="1:8">
      <c r="A98" s="5">
        <v>18</v>
      </c>
      <c r="B98" s="10">
        <f t="shared" si="29"/>
        <v>16000</v>
      </c>
      <c r="C98" s="11">
        <f t="shared" si="26"/>
        <v>1.4999999999999999E-2</v>
      </c>
      <c r="D98" s="12">
        <f t="shared" si="30"/>
        <v>240</v>
      </c>
      <c r="E98" s="12">
        <f t="shared" si="24"/>
        <v>2000</v>
      </c>
      <c r="F98" s="13">
        <f t="shared" si="31"/>
        <v>14000</v>
      </c>
    </row>
    <row r="99" spans="1:8">
      <c r="A99" s="5">
        <v>19</v>
      </c>
      <c r="B99" s="10">
        <f t="shared" si="29"/>
        <v>14000</v>
      </c>
      <c r="C99" s="11">
        <f t="shared" si="26"/>
        <v>1.4999999999999999E-2</v>
      </c>
      <c r="D99" s="12">
        <f t="shared" si="30"/>
        <v>210</v>
      </c>
      <c r="E99" s="12">
        <f t="shared" si="24"/>
        <v>2000</v>
      </c>
      <c r="F99" s="13">
        <f t="shared" si="31"/>
        <v>12000</v>
      </c>
    </row>
    <row r="100" spans="1:8">
      <c r="A100" s="5">
        <v>20</v>
      </c>
      <c r="B100" s="10">
        <f t="shared" si="29"/>
        <v>12000</v>
      </c>
      <c r="C100" s="11">
        <f t="shared" si="26"/>
        <v>1.4999999999999999E-2</v>
      </c>
      <c r="D100" s="12">
        <f t="shared" si="30"/>
        <v>180</v>
      </c>
      <c r="E100" s="12">
        <f t="shared" si="24"/>
        <v>2000</v>
      </c>
      <c r="F100" s="13">
        <f t="shared" si="31"/>
        <v>10000</v>
      </c>
    </row>
    <row r="101" spans="1:8">
      <c r="A101" s="5">
        <v>21</v>
      </c>
      <c r="B101" s="10">
        <f t="shared" ref="B101:B105" si="32">F100</f>
        <v>10000</v>
      </c>
      <c r="C101" s="11">
        <f t="shared" si="26"/>
        <v>1.4999999999999999E-2</v>
      </c>
      <c r="D101" s="12">
        <f t="shared" ref="D101:D105" si="33">B101*C101</f>
        <v>150</v>
      </c>
      <c r="E101" s="12">
        <f t="shared" si="24"/>
        <v>2000</v>
      </c>
      <c r="F101" s="13">
        <f t="shared" ref="F101:F105" si="34">B101-E101</f>
        <v>8000</v>
      </c>
    </row>
    <row r="102" spans="1:8">
      <c r="A102" s="5">
        <v>22</v>
      </c>
      <c r="B102" s="10">
        <f t="shared" si="32"/>
        <v>8000</v>
      </c>
      <c r="C102" s="11">
        <f t="shared" si="26"/>
        <v>1.4999999999999999E-2</v>
      </c>
      <c r="D102" s="12">
        <f t="shared" si="33"/>
        <v>120</v>
      </c>
      <c r="E102" s="12">
        <f t="shared" si="24"/>
        <v>2000</v>
      </c>
      <c r="F102" s="13">
        <f t="shared" si="34"/>
        <v>6000</v>
      </c>
    </row>
    <row r="103" spans="1:8">
      <c r="A103" s="5">
        <v>23</v>
      </c>
      <c r="B103" s="10">
        <f t="shared" si="32"/>
        <v>6000</v>
      </c>
      <c r="C103" s="11">
        <f t="shared" si="26"/>
        <v>1.4999999999999999E-2</v>
      </c>
      <c r="D103" s="12">
        <f t="shared" si="33"/>
        <v>90</v>
      </c>
      <c r="E103" s="12">
        <f t="shared" si="24"/>
        <v>2000</v>
      </c>
      <c r="F103" s="13">
        <f t="shared" si="34"/>
        <v>4000</v>
      </c>
    </row>
    <row r="104" spans="1:8">
      <c r="A104" s="5">
        <v>24</v>
      </c>
      <c r="B104" s="10">
        <f t="shared" si="32"/>
        <v>4000</v>
      </c>
      <c r="C104" s="11">
        <f t="shared" si="26"/>
        <v>1.4999999999999999E-2</v>
      </c>
      <c r="D104" s="12">
        <f t="shared" si="33"/>
        <v>60</v>
      </c>
      <c r="E104" s="12">
        <f t="shared" si="24"/>
        <v>2000</v>
      </c>
      <c r="F104" s="13">
        <f t="shared" si="34"/>
        <v>2000</v>
      </c>
    </row>
    <row r="105" spans="1:8">
      <c r="A105" s="5">
        <v>25</v>
      </c>
      <c r="B105" s="10">
        <f t="shared" si="32"/>
        <v>2000</v>
      </c>
      <c r="C105" s="11">
        <f t="shared" si="26"/>
        <v>1.4999999999999999E-2</v>
      </c>
      <c r="D105" s="12">
        <f t="shared" si="33"/>
        <v>30</v>
      </c>
      <c r="E105" s="12">
        <f t="shared" si="24"/>
        <v>2000</v>
      </c>
      <c r="F105" s="13">
        <f t="shared" si="34"/>
        <v>0</v>
      </c>
    </row>
    <row r="106" spans="1:8">
      <c r="A106" s="16" t="s">
        <v>5</v>
      </c>
      <c r="B106" s="17"/>
      <c r="C106" s="18"/>
      <c r="D106" s="19">
        <f>SUM(D81:D105)</f>
        <v>9750</v>
      </c>
      <c r="E106" s="19">
        <f>SUM(E81:E105)</f>
        <v>50000</v>
      </c>
      <c r="F106" s="13"/>
    </row>
    <row r="108" spans="1:8">
      <c r="A108" t="s">
        <v>28</v>
      </c>
      <c r="B108" s="69">
        <v>100000</v>
      </c>
      <c r="C108" s="18"/>
      <c r="D108" s="19"/>
      <c r="E108" s="19"/>
      <c r="F108" s="13"/>
    </row>
    <row r="109" spans="1:8">
      <c r="A109" t="s">
        <v>33</v>
      </c>
      <c r="B109" s="69">
        <v>36</v>
      </c>
      <c r="C109" s="18"/>
      <c r="D109" s="19"/>
      <c r="E109" s="19"/>
      <c r="F109" s="13"/>
    </row>
    <row r="110" spans="1:8">
      <c r="A110" s="20" t="s">
        <v>9</v>
      </c>
      <c r="B110" s="6" t="s">
        <v>0</v>
      </c>
      <c r="C110" s="7" t="s">
        <v>1</v>
      </c>
      <c r="D110" s="8" t="s">
        <v>2</v>
      </c>
      <c r="E110" s="7" t="s">
        <v>3</v>
      </c>
      <c r="F110" s="9" t="s">
        <v>4</v>
      </c>
    </row>
    <row r="111" spans="1:8">
      <c r="A111" s="5">
        <v>1</v>
      </c>
      <c r="B111" s="10">
        <f>B108</f>
        <v>100000</v>
      </c>
      <c r="C111" s="11">
        <f>0.18/12</f>
        <v>1.4999999999999999E-2</v>
      </c>
      <c r="D111" s="12">
        <f>B111*C111</f>
        <v>1500</v>
      </c>
      <c r="E111" s="12">
        <f>$B$108/$B$109</f>
        <v>2777.7777777777778</v>
      </c>
      <c r="F111" s="13">
        <f>B111-E111</f>
        <v>97222.222222222219</v>
      </c>
      <c r="H111" s="25">
        <f>E111+D111</f>
        <v>4277.7777777777774</v>
      </c>
    </row>
    <row r="112" spans="1:8">
      <c r="A112" s="5">
        <v>2</v>
      </c>
      <c r="B112" s="10">
        <f>F111</f>
        <v>97222.222222222219</v>
      </c>
      <c r="C112" s="11">
        <f>0.18/12</f>
        <v>1.4999999999999999E-2</v>
      </c>
      <c r="D112" s="12">
        <f>B112*C112</f>
        <v>1458.3333333333333</v>
      </c>
      <c r="E112" s="12">
        <f t="shared" ref="E112:E146" si="35">$B$108/$B$109</f>
        <v>2777.7777777777778</v>
      </c>
      <c r="F112" s="13">
        <f>B112-E112</f>
        <v>94444.444444444438</v>
      </c>
    </row>
    <row r="113" spans="1:6">
      <c r="A113" s="5">
        <v>3</v>
      </c>
      <c r="B113" s="10">
        <f t="shared" ref="B113:B123" si="36">F112</f>
        <v>94444.444444444438</v>
      </c>
      <c r="C113" s="11">
        <f t="shared" ref="C113:C146" si="37">0.18/12</f>
        <v>1.4999999999999999E-2</v>
      </c>
      <c r="D113" s="12">
        <f t="shared" ref="D113:D123" si="38">B113*C113</f>
        <v>1416.6666666666665</v>
      </c>
      <c r="E113" s="12">
        <f t="shared" si="35"/>
        <v>2777.7777777777778</v>
      </c>
      <c r="F113" s="13">
        <f t="shared" ref="F113:F123" si="39">B113-E113</f>
        <v>91666.666666666657</v>
      </c>
    </row>
    <row r="114" spans="1:6">
      <c r="A114" s="5">
        <v>4</v>
      </c>
      <c r="B114" s="10">
        <f t="shared" si="36"/>
        <v>91666.666666666657</v>
      </c>
      <c r="C114" s="11">
        <f t="shared" si="37"/>
        <v>1.4999999999999999E-2</v>
      </c>
      <c r="D114" s="12">
        <f t="shared" si="38"/>
        <v>1374.9999999999998</v>
      </c>
      <c r="E114" s="12">
        <f t="shared" si="35"/>
        <v>2777.7777777777778</v>
      </c>
      <c r="F114" s="13">
        <f t="shared" si="39"/>
        <v>88888.888888888876</v>
      </c>
    </row>
    <row r="115" spans="1:6">
      <c r="A115" s="5">
        <v>5</v>
      </c>
      <c r="B115" s="10">
        <f t="shared" si="36"/>
        <v>88888.888888888876</v>
      </c>
      <c r="C115" s="11">
        <f t="shared" si="37"/>
        <v>1.4999999999999999E-2</v>
      </c>
      <c r="D115" s="12">
        <f t="shared" si="38"/>
        <v>1333.333333333333</v>
      </c>
      <c r="E115" s="12">
        <f t="shared" si="35"/>
        <v>2777.7777777777778</v>
      </c>
      <c r="F115" s="13">
        <f t="shared" si="39"/>
        <v>86111.111111111095</v>
      </c>
    </row>
    <row r="116" spans="1:6">
      <c r="A116" s="5">
        <v>6</v>
      </c>
      <c r="B116" s="10">
        <f t="shared" si="36"/>
        <v>86111.111111111095</v>
      </c>
      <c r="C116" s="11">
        <f t="shared" si="37"/>
        <v>1.4999999999999999E-2</v>
      </c>
      <c r="D116" s="12">
        <f t="shared" si="38"/>
        <v>1291.6666666666663</v>
      </c>
      <c r="E116" s="12">
        <f t="shared" si="35"/>
        <v>2777.7777777777778</v>
      </c>
      <c r="F116" s="13">
        <f t="shared" si="39"/>
        <v>83333.333333333314</v>
      </c>
    </row>
    <row r="117" spans="1:6">
      <c r="A117" s="5">
        <v>7</v>
      </c>
      <c r="B117" s="10">
        <f t="shared" si="36"/>
        <v>83333.333333333314</v>
      </c>
      <c r="C117" s="11">
        <f t="shared" si="37"/>
        <v>1.4999999999999999E-2</v>
      </c>
      <c r="D117" s="12">
        <f t="shared" si="38"/>
        <v>1249.9999999999998</v>
      </c>
      <c r="E117" s="12">
        <f t="shared" si="35"/>
        <v>2777.7777777777778</v>
      </c>
      <c r="F117" s="13">
        <f t="shared" si="39"/>
        <v>80555.555555555533</v>
      </c>
    </row>
    <row r="118" spans="1:6">
      <c r="A118" s="5">
        <v>8</v>
      </c>
      <c r="B118" s="10">
        <f t="shared" si="36"/>
        <v>80555.555555555533</v>
      </c>
      <c r="C118" s="11">
        <f t="shared" si="37"/>
        <v>1.4999999999999999E-2</v>
      </c>
      <c r="D118" s="12">
        <f t="shared" si="38"/>
        <v>1208.333333333333</v>
      </c>
      <c r="E118" s="12">
        <f t="shared" si="35"/>
        <v>2777.7777777777778</v>
      </c>
      <c r="F118" s="13">
        <f t="shared" si="39"/>
        <v>77777.777777777752</v>
      </c>
    </row>
    <row r="119" spans="1:6">
      <c r="A119" s="5">
        <v>9</v>
      </c>
      <c r="B119" s="10">
        <f t="shared" si="36"/>
        <v>77777.777777777752</v>
      </c>
      <c r="C119" s="11">
        <f t="shared" si="37"/>
        <v>1.4999999999999999E-2</v>
      </c>
      <c r="D119" s="12">
        <f t="shared" si="38"/>
        <v>1166.6666666666663</v>
      </c>
      <c r="E119" s="12">
        <f t="shared" si="35"/>
        <v>2777.7777777777778</v>
      </c>
      <c r="F119" s="13">
        <f t="shared" si="39"/>
        <v>74999.999999999971</v>
      </c>
    </row>
    <row r="120" spans="1:6">
      <c r="A120" s="5">
        <v>10</v>
      </c>
      <c r="B120" s="10">
        <f t="shared" si="36"/>
        <v>74999.999999999971</v>
      </c>
      <c r="C120" s="11">
        <f t="shared" si="37"/>
        <v>1.4999999999999999E-2</v>
      </c>
      <c r="D120" s="12">
        <f t="shared" si="38"/>
        <v>1124.9999999999995</v>
      </c>
      <c r="E120" s="12">
        <f t="shared" si="35"/>
        <v>2777.7777777777778</v>
      </c>
      <c r="F120" s="13">
        <f t="shared" si="39"/>
        <v>72222.22222222219</v>
      </c>
    </row>
    <row r="121" spans="1:6">
      <c r="A121" s="5">
        <v>11</v>
      </c>
      <c r="B121" s="10">
        <f t="shared" si="36"/>
        <v>72222.22222222219</v>
      </c>
      <c r="C121" s="11">
        <f t="shared" si="37"/>
        <v>1.4999999999999999E-2</v>
      </c>
      <c r="D121" s="12">
        <f t="shared" si="38"/>
        <v>1083.3333333333328</v>
      </c>
      <c r="E121" s="12">
        <f t="shared" si="35"/>
        <v>2777.7777777777778</v>
      </c>
      <c r="F121" s="13">
        <f t="shared" si="39"/>
        <v>69444.444444444409</v>
      </c>
    </row>
    <row r="122" spans="1:6">
      <c r="A122" s="5">
        <v>12</v>
      </c>
      <c r="B122" s="10">
        <f t="shared" si="36"/>
        <v>69444.444444444409</v>
      </c>
      <c r="C122" s="11">
        <f t="shared" si="37"/>
        <v>1.4999999999999999E-2</v>
      </c>
      <c r="D122" s="12">
        <f t="shared" si="38"/>
        <v>1041.6666666666661</v>
      </c>
      <c r="E122" s="12">
        <f t="shared" si="35"/>
        <v>2777.7777777777778</v>
      </c>
      <c r="F122" s="13">
        <f t="shared" si="39"/>
        <v>66666.666666666628</v>
      </c>
    </row>
    <row r="123" spans="1:6">
      <c r="A123" s="5">
        <v>13</v>
      </c>
      <c r="B123" s="10">
        <f t="shared" si="36"/>
        <v>66666.666666666628</v>
      </c>
      <c r="C123" s="11">
        <f t="shared" si="37"/>
        <v>1.4999999999999999E-2</v>
      </c>
      <c r="D123" s="12">
        <f t="shared" si="38"/>
        <v>999.99999999999943</v>
      </c>
      <c r="E123" s="12">
        <f t="shared" si="35"/>
        <v>2777.7777777777778</v>
      </c>
      <c r="F123" s="13">
        <f t="shared" si="39"/>
        <v>63888.888888888847</v>
      </c>
    </row>
    <row r="124" spans="1:6">
      <c r="A124" s="5">
        <v>14</v>
      </c>
      <c r="B124" s="10">
        <f>F123</f>
        <v>63888.888888888847</v>
      </c>
      <c r="C124" s="11">
        <f>0.18/12</f>
        <v>1.4999999999999999E-2</v>
      </c>
      <c r="D124" s="12">
        <f>B124*C124</f>
        <v>958.33333333333269</v>
      </c>
      <c r="E124" s="12">
        <f t="shared" si="35"/>
        <v>2777.7777777777778</v>
      </c>
      <c r="F124" s="13">
        <f>B124-E124</f>
        <v>61111.111111111066</v>
      </c>
    </row>
    <row r="125" spans="1:6">
      <c r="A125" s="5">
        <v>15</v>
      </c>
      <c r="B125" s="10">
        <f t="shared" ref="B125:B135" si="40">F124</f>
        <v>61111.111111111066</v>
      </c>
      <c r="C125" s="11">
        <f t="shared" si="37"/>
        <v>1.4999999999999999E-2</v>
      </c>
      <c r="D125" s="12">
        <f t="shared" ref="D125:D135" si="41">B125*C125</f>
        <v>916.66666666666595</v>
      </c>
      <c r="E125" s="12">
        <f t="shared" si="35"/>
        <v>2777.7777777777778</v>
      </c>
      <c r="F125" s="13">
        <f t="shared" ref="F125:F135" si="42">B125-E125</f>
        <v>58333.333333333285</v>
      </c>
    </row>
    <row r="126" spans="1:6">
      <c r="A126" s="5">
        <v>16</v>
      </c>
      <c r="B126" s="10">
        <f t="shared" si="40"/>
        <v>58333.333333333285</v>
      </c>
      <c r="C126" s="11">
        <f t="shared" si="37"/>
        <v>1.4999999999999999E-2</v>
      </c>
      <c r="D126" s="12">
        <f t="shared" si="41"/>
        <v>874.9999999999992</v>
      </c>
      <c r="E126" s="12">
        <f t="shared" si="35"/>
        <v>2777.7777777777778</v>
      </c>
      <c r="F126" s="13">
        <f t="shared" si="42"/>
        <v>55555.555555555504</v>
      </c>
    </row>
    <row r="127" spans="1:6">
      <c r="A127" s="5">
        <v>17</v>
      </c>
      <c r="B127" s="10">
        <f t="shared" si="40"/>
        <v>55555.555555555504</v>
      </c>
      <c r="C127" s="11">
        <f t="shared" si="37"/>
        <v>1.4999999999999999E-2</v>
      </c>
      <c r="D127" s="12">
        <f t="shared" si="41"/>
        <v>833.33333333333258</v>
      </c>
      <c r="E127" s="12">
        <f t="shared" si="35"/>
        <v>2777.7777777777778</v>
      </c>
      <c r="F127" s="13">
        <f t="shared" si="42"/>
        <v>52777.777777777723</v>
      </c>
    </row>
    <row r="128" spans="1:6">
      <c r="A128" s="5">
        <v>18</v>
      </c>
      <c r="B128" s="10">
        <f t="shared" si="40"/>
        <v>52777.777777777723</v>
      </c>
      <c r="C128" s="11">
        <f t="shared" si="37"/>
        <v>1.4999999999999999E-2</v>
      </c>
      <c r="D128" s="12">
        <f t="shared" si="41"/>
        <v>791.66666666666583</v>
      </c>
      <c r="E128" s="12">
        <f t="shared" si="35"/>
        <v>2777.7777777777778</v>
      </c>
      <c r="F128" s="13">
        <f t="shared" si="42"/>
        <v>49999.999999999942</v>
      </c>
    </row>
    <row r="129" spans="1:6">
      <c r="A129" s="5">
        <v>19</v>
      </c>
      <c r="B129" s="10">
        <f t="shared" si="40"/>
        <v>49999.999999999942</v>
      </c>
      <c r="C129" s="11">
        <f t="shared" si="37"/>
        <v>1.4999999999999999E-2</v>
      </c>
      <c r="D129" s="12">
        <f t="shared" si="41"/>
        <v>749.99999999999909</v>
      </c>
      <c r="E129" s="12">
        <f t="shared" si="35"/>
        <v>2777.7777777777778</v>
      </c>
      <c r="F129" s="13">
        <f t="shared" si="42"/>
        <v>47222.222222222161</v>
      </c>
    </row>
    <row r="130" spans="1:6">
      <c r="A130" s="5">
        <v>20</v>
      </c>
      <c r="B130" s="10">
        <f t="shared" si="40"/>
        <v>47222.222222222161</v>
      </c>
      <c r="C130" s="11">
        <f t="shared" si="37"/>
        <v>1.4999999999999999E-2</v>
      </c>
      <c r="D130" s="12">
        <f t="shared" si="41"/>
        <v>708.33333333333235</v>
      </c>
      <c r="E130" s="12">
        <f t="shared" si="35"/>
        <v>2777.7777777777778</v>
      </c>
      <c r="F130" s="13">
        <f t="shared" si="42"/>
        <v>44444.44444444438</v>
      </c>
    </row>
    <row r="131" spans="1:6">
      <c r="A131" s="5">
        <v>21</v>
      </c>
      <c r="B131" s="10">
        <f t="shared" si="40"/>
        <v>44444.44444444438</v>
      </c>
      <c r="C131" s="11">
        <f t="shared" si="37"/>
        <v>1.4999999999999999E-2</v>
      </c>
      <c r="D131" s="12">
        <f t="shared" si="41"/>
        <v>666.66666666666572</v>
      </c>
      <c r="E131" s="12">
        <f t="shared" si="35"/>
        <v>2777.7777777777778</v>
      </c>
      <c r="F131" s="13">
        <f t="shared" si="42"/>
        <v>41666.666666666599</v>
      </c>
    </row>
    <row r="132" spans="1:6">
      <c r="A132" s="5">
        <v>22</v>
      </c>
      <c r="B132" s="10">
        <f t="shared" si="40"/>
        <v>41666.666666666599</v>
      </c>
      <c r="C132" s="11">
        <f t="shared" si="37"/>
        <v>1.4999999999999999E-2</v>
      </c>
      <c r="D132" s="12">
        <f t="shared" si="41"/>
        <v>624.99999999999898</v>
      </c>
      <c r="E132" s="12">
        <f t="shared" si="35"/>
        <v>2777.7777777777778</v>
      </c>
      <c r="F132" s="13">
        <f t="shared" si="42"/>
        <v>38888.888888888818</v>
      </c>
    </row>
    <row r="133" spans="1:6">
      <c r="A133" s="5">
        <v>23</v>
      </c>
      <c r="B133" s="10">
        <f t="shared" si="40"/>
        <v>38888.888888888818</v>
      </c>
      <c r="C133" s="11">
        <f t="shared" si="37"/>
        <v>1.4999999999999999E-2</v>
      </c>
      <c r="D133" s="12">
        <f t="shared" si="41"/>
        <v>583.33333333333223</v>
      </c>
      <c r="E133" s="12">
        <f t="shared" si="35"/>
        <v>2777.7777777777778</v>
      </c>
      <c r="F133" s="13">
        <f t="shared" si="42"/>
        <v>36111.111111111037</v>
      </c>
    </row>
    <row r="134" spans="1:6">
      <c r="A134" s="5">
        <v>24</v>
      </c>
      <c r="B134" s="10">
        <f t="shared" si="40"/>
        <v>36111.111111111037</v>
      </c>
      <c r="C134" s="11">
        <f t="shared" si="37"/>
        <v>1.4999999999999999E-2</v>
      </c>
      <c r="D134" s="12">
        <f t="shared" si="41"/>
        <v>541.66666666666549</v>
      </c>
      <c r="E134" s="12">
        <f t="shared" si="35"/>
        <v>2777.7777777777778</v>
      </c>
      <c r="F134" s="13">
        <f t="shared" si="42"/>
        <v>33333.333333333256</v>
      </c>
    </row>
    <row r="135" spans="1:6">
      <c r="A135" s="5">
        <v>25</v>
      </c>
      <c r="B135" s="10">
        <f t="shared" si="40"/>
        <v>33333.333333333256</v>
      </c>
      <c r="C135" s="11">
        <f t="shared" si="37"/>
        <v>1.4999999999999999E-2</v>
      </c>
      <c r="D135" s="12">
        <f t="shared" si="41"/>
        <v>499.99999999999881</v>
      </c>
      <c r="E135" s="12">
        <f t="shared" si="35"/>
        <v>2777.7777777777778</v>
      </c>
      <c r="F135" s="13">
        <f t="shared" si="42"/>
        <v>30555.555555555478</v>
      </c>
    </row>
    <row r="136" spans="1:6">
      <c r="A136" s="5">
        <v>26</v>
      </c>
      <c r="B136" s="10">
        <f t="shared" ref="B136:B146" si="43">F135</f>
        <v>30555.555555555478</v>
      </c>
      <c r="C136" s="11">
        <f t="shared" si="37"/>
        <v>1.4999999999999999E-2</v>
      </c>
      <c r="D136" s="12">
        <f t="shared" ref="D136:D146" si="44">B136*C136</f>
        <v>458.33333333333218</v>
      </c>
      <c r="E136" s="12">
        <f t="shared" si="35"/>
        <v>2777.7777777777778</v>
      </c>
      <c r="F136" s="13">
        <f t="shared" ref="F136:F146" si="45">B136-E136</f>
        <v>27777.777777777701</v>
      </c>
    </row>
    <row r="137" spans="1:6">
      <c r="A137" s="5">
        <v>27</v>
      </c>
      <c r="B137" s="10">
        <f t="shared" si="43"/>
        <v>27777.777777777701</v>
      </c>
      <c r="C137" s="11">
        <f t="shared" si="37"/>
        <v>1.4999999999999999E-2</v>
      </c>
      <c r="D137" s="12">
        <f t="shared" si="44"/>
        <v>416.66666666666549</v>
      </c>
      <c r="E137" s="12">
        <f t="shared" si="35"/>
        <v>2777.7777777777778</v>
      </c>
      <c r="F137" s="13">
        <f t="shared" si="45"/>
        <v>24999.999999999924</v>
      </c>
    </row>
    <row r="138" spans="1:6">
      <c r="A138" s="5">
        <v>28</v>
      </c>
      <c r="B138" s="10">
        <f t="shared" si="43"/>
        <v>24999.999999999924</v>
      </c>
      <c r="C138" s="11">
        <f t="shared" si="37"/>
        <v>1.4999999999999999E-2</v>
      </c>
      <c r="D138" s="12">
        <f t="shared" si="44"/>
        <v>374.99999999999886</v>
      </c>
      <c r="E138" s="12">
        <f t="shared" si="35"/>
        <v>2777.7777777777778</v>
      </c>
      <c r="F138" s="13">
        <f t="shared" si="45"/>
        <v>22222.222222222146</v>
      </c>
    </row>
    <row r="139" spans="1:6">
      <c r="A139" s="5">
        <v>29</v>
      </c>
      <c r="B139" s="10">
        <f t="shared" si="43"/>
        <v>22222.222222222146</v>
      </c>
      <c r="C139" s="11">
        <f t="shared" si="37"/>
        <v>1.4999999999999999E-2</v>
      </c>
      <c r="D139" s="12">
        <f t="shared" si="44"/>
        <v>333.33333333333218</v>
      </c>
      <c r="E139" s="12">
        <f t="shared" si="35"/>
        <v>2777.7777777777778</v>
      </c>
      <c r="F139" s="13">
        <f t="shared" si="45"/>
        <v>19444.444444444369</v>
      </c>
    </row>
    <row r="140" spans="1:6">
      <c r="A140" s="5">
        <v>30</v>
      </c>
      <c r="B140" s="10">
        <f t="shared" si="43"/>
        <v>19444.444444444369</v>
      </c>
      <c r="C140" s="11">
        <f t="shared" si="37"/>
        <v>1.4999999999999999E-2</v>
      </c>
      <c r="D140" s="12">
        <f t="shared" si="44"/>
        <v>291.66666666666555</v>
      </c>
      <c r="E140" s="12">
        <f t="shared" si="35"/>
        <v>2777.7777777777778</v>
      </c>
      <c r="F140" s="13">
        <f t="shared" si="45"/>
        <v>16666.666666666591</v>
      </c>
    </row>
    <row r="141" spans="1:6">
      <c r="A141" s="5">
        <v>31</v>
      </c>
      <c r="B141" s="10">
        <f t="shared" si="43"/>
        <v>16666.666666666591</v>
      </c>
      <c r="C141" s="11">
        <f t="shared" si="37"/>
        <v>1.4999999999999999E-2</v>
      </c>
      <c r="D141" s="12">
        <f t="shared" si="44"/>
        <v>249.99999999999886</v>
      </c>
      <c r="E141" s="12">
        <f t="shared" si="35"/>
        <v>2777.7777777777778</v>
      </c>
      <c r="F141" s="13">
        <f t="shared" si="45"/>
        <v>13888.888888888814</v>
      </c>
    </row>
    <row r="142" spans="1:6">
      <c r="A142" s="5">
        <v>32</v>
      </c>
      <c r="B142" s="10">
        <f t="shared" si="43"/>
        <v>13888.888888888814</v>
      </c>
      <c r="C142" s="11">
        <f t="shared" si="37"/>
        <v>1.4999999999999999E-2</v>
      </c>
      <c r="D142" s="12">
        <f t="shared" si="44"/>
        <v>208.33333333333221</v>
      </c>
      <c r="E142" s="12">
        <f t="shared" si="35"/>
        <v>2777.7777777777778</v>
      </c>
      <c r="F142" s="13">
        <f t="shared" si="45"/>
        <v>11111.111111111037</v>
      </c>
    </row>
    <row r="143" spans="1:6">
      <c r="A143" s="5">
        <v>33</v>
      </c>
      <c r="B143" s="10">
        <f t="shared" si="43"/>
        <v>11111.111111111037</v>
      </c>
      <c r="C143" s="11">
        <f t="shared" si="37"/>
        <v>1.4999999999999999E-2</v>
      </c>
      <c r="D143" s="12">
        <f t="shared" si="44"/>
        <v>166.66666666666555</v>
      </c>
      <c r="E143" s="12">
        <f t="shared" si="35"/>
        <v>2777.7777777777778</v>
      </c>
      <c r="F143" s="13">
        <f t="shared" si="45"/>
        <v>8333.3333333332594</v>
      </c>
    </row>
    <row r="144" spans="1:6">
      <c r="A144" s="5">
        <v>34</v>
      </c>
      <c r="B144" s="10">
        <f t="shared" si="43"/>
        <v>8333.3333333332594</v>
      </c>
      <c r="C144" s="11">
        <f t="shared" si="37"/>
        <v>1.4999999999999999E-2</v>
      </c>
      <c r="D144" s="12">
        <f t="shared" si="44"/>
        <v>124.99999999999889</v>
      </c>
      <c r="E144" s="12">
        <f t="shared" si="35"/>
        <v>2777.7777777777778</v>
      </c>
      <c r="F144" s="13">
        <f t="shared" si="45"/>
        <v>5555.555555555482</v>
      </c>
    </row>
    <row r="145" spans="1:8">
      <c r="A145" s="5">
        <v>35</v>
      </c>
      <c r="B145" s="10">
        <f t="shared" si="43"/>
        <v>5555.555555555482</v>
      </c>
      <c r="C145" s="11">
        <f t="shared" si="37"/>
        <v>1.4999999999999999E-2</v>
      </c>
      <c r="D145" s="12">
        <f t="shared" si="44"/>
        <v>83.33333333333222</v>
      </c>
      <c r="E145" s="12">
        <f t="shared" si="35"/>
        <v>2777.7777777777778</v>
      </c>
      <c r="F145" s="13">
        <f t="shared" si="45"/>
        <v>2777.7777777777042</v>
      </c>
    </row>
    <row r="146" spans="1:8">
      <c r="A146" s="5">
        <v>36</v>
      </c>
      <c r="B146" s="10">
        <f t="shared" si="43"/>
        <v>2777.7777777777042</v>
      </c>
      <c r="C146" s="11">
        <f t="shared" si="37"/>
        <v>1.4999999999999999E-2</v>
      </c>
      <c r="D146" s="12">
        <f t="shared" si="44"/>
        <v>41.666666666665563</v>
      </c>
      <c r="E146" s="12">
        <f t="shared" si="35"/>
        <v>2777.7777777777778</v>
      </c>
      <c r="F146" s="13">
        <f t="shared" si="45"/>
        <v>-7.3669070843607187E-11</v>
      </c>
    </row>
    <row r="147" spans="1:8">
      <c r="A147" s="16" t="s">
        <v>5</v>
      </c>
      <c r="B147" s="17"/>
      <c r="C147" s="18"/>
      <c r="D147" s="19">
        <f>SUM(D111:D146)</f>
        <v>27749.999999999967</v>
      </c>
      <c r="E147" s="19">
        <f>SUM(E111:E146)</f>
        <v>100000.00000000007</v>
      </c>
      <c r="F147" s="13"/>
    </row>
    <row r="149" spans="1:8">
      <c r="A149" t="s">
        <v>28</v>
      </c>
      <c r="B149" s="69">
        <v>200000</v>
      </c>
      <c r="C149" s="18"/>
      <c r="D149" s="19"/>
      <c r="E149" s="19"/>
      <c r="F149" s="13"/>
    </row>
    <row r="150" spans="1:8">
      <c r="A150" t="s">
        <v>33</v>
      </c>
      <c r="B150" s="69">
        <v>48</v>
      </c>
      <c r="C150" s="18"/>
      <c r="D150" s="19"/>
      <c r="E150" s="19"/>
      <c r="F150" s="13"/>
    </row>
    <row r="151" spans="1:8">
      <c r="A151" s="20" t="s">
        <v>9</v>
      </c>
      <c r="B151" s="6" t="s">
        <v>0</v>
      </c>
      <c r="C151" s="7" t="s">
        <v>1</v>
      </c>
      <c r="D151" s="8" t="s">
        <v>2</v>
      </c>
      <c r="E151" s="7" t="s">
        <v>3</v>
      </c>
      <c r="F151" s="9" t="s">
        <v>4</v>
      </c>
    </row>
    <row r="152" spans="1:8">
      <c r="A152" s="5">
        <v>1</v>
      </c>
      <c r="B152" s="10">
        <f>B149</f>
        <v>200000</v>
      </c>
      <c r="C152" s="11">
        <f>0.18/12</f>
        <v>1.4999999999999999E-2</v>
      </c>
      <c r="D152" s="12">
        <f>B152*C152</f>
        <v>3000</v>
      </c>
      <c r="E152" s="12">
        <f>$B$149/$B$150</f>
        <v>4166.666666666667</v>
      </c>
      <c r="F152" s="13">
        <f>B152-E152</f>
        <v>195833.33333333334</v>
      </c>
      <c r="H152" s="25">
        <f>E152+D152</f>
        <v>7166.666666666667</v>
      </c>
    </row>
    <row r="153" spans="1:8">
      <c r="A153" s="5">
        <v>2</v>
      </c>
      <c r="B153" s="10">
        <f>F152</f>
        <v>195833.33333333334</v>
      </c>
      <c r="C153" s="11">
        <f>0.18/12</f>
        <v>1.4999999999999999E-2</v>
      </c>
      <c r="D153" s="12">
        <f>B153*C153</f>
        <v>2937.5</v>
      </c>
      <c r="E153" s="12">
        <f t="shared" ref="E153:E199" si="46">$B$149/$B$150</f>
        <v>4166.666666666667</v>
      </c>
      <c r="F153" s="13">
        <f>B153-E153</f>
        <v>191666.66666666669</v>
      </c>
    </row>
    <row r="154" spans="1:8">
      <c r="A154" s="5">
        <v>3</v>
      </c>
      <c r="B154" s="10">
        <f t="shared" ref="B154:B164" si="47">F153</f>
        <v>191666.66666666669</v>
      </c>
      <c r="C154" s="11">
        <f t="shared" ref="C154:C199" si="48">0.18/12</f>
        <v>1.4999999999999999E-2</v>
      </c>
      <c r="D154" s="12">
        <f t="shared" ref="D154:D164" si="49">B154*C154</f>
        <v>2875</v>
      </c>
      <c r="E154" s="12">
        <f t="shared" si="46"/>
        <v>4166.666666666667</v>
      </c>
      <c r="F154" s="13">
        <f t="shared" ref="F154:F164" si="50">B154-E154</f>
        <v>187500.00000000003</v>
      </c>
    </row>
    <row r="155" spans="1:8">
      <c r="A155" s="5">
        <v>4</v>
      </c>
      <c r="B155" s="10">
        <f t="shared" si="47"/>
        <v>187500.00000000003</v>
      </c>
      <c r="C155" s="11">
        <f t="shared" si="48"/>
        <v>1.4999999999999999E-2</v>
      </c>
      <c r="D155" s="12">
        <f t="shared" si="49"/>
        <v>2812.5000000000005</v>
      </c>
      <c r="E155" s="12">
        <f t="shared" si="46"/>
        <v>4166.666666666667</v>
      </c>
      <c r="F155" s="13">
        <f t="shared" si="50"/>
        <v>183333.33333333337</v>
      </c>
    </row>
    <row r="156" spans="1:8">
      <c r="A156" s="5">
        <v>5</v>
      </c>
      <c r="B156" s="10">
        <f t="shared" si="47"/>
        <v>183333.33333333337</v>
      </c>
      <c r="C156" s="11">
        <f t="shared" si="48"/>
        <v>1.4999999999999999E-2</v>
      </c>
      <c r="D156" s="12">
        <f t="shared" si="49"/>
        <v>2750.0000000000005</v>
      </c>
      <c r="E156" s="12">
        <f t="shared" si="46"/>
        <v>4166.666666666667</v>
      </c>
      <c r="F156" s="13">
        <f t="shared" si="50"/>
        <v>179166.66666666672</v>
      </c>
    </row>
    <row r="157" spans="1:8">
      <c r="A157" s="5">
        <v>6</v>
      </c>
      <c r="B157" s="10">
        <f t="shared" si="47"/>
        <v>179166.66666666672</v>
      </c>
      <c r="C157" s="11">
        <f t="shared" si="48"/>
        <v>1.4999999999999999E-2</v>
      </c>
      <c r="D157" s="12">
        <f t="shared" si="49"/>
        <v>2687.5000000000005</v>
      </c>
      <c r="E157" s="12">
        <f t="shared" si="46"/>
        <v>4166.666666666667</v>
      </c>
      <c r="F157" s="13">
        <f t="shared" si="50"/>
        <v>175000.00000000006</v>
      </c>
    </row>
    <row r="158" spans="1:8">
      <c r="A158" s="5">
        <v>7</v>
      </c>
      <c r="B158" s="10">
        <f t="shared" si="47"/>
        <v>175000.00000000006</v>
      </c>
      <c r="C158" s="11">
        <f t="shared" si="48"/>
        <v>1.4999999999999999E-2</v>
      </c>
      <c r="D158" s="12">
        <f t="shared" si="49"/>
        <v>2625.0000000000009</v>
      </c>
      <c r="E158" s="12">
        <f t="shared" si="46"/>
        <v>4166.666666666667</v>
      </c>
      <c r="F158" s="13">
        <f t="shared" si="50"/>
        <v>170833.3333333334</v>
      </c>
    </row>
    <row r="159" spans="1:8">
      <c r="A159" s="5">
        <v>8</v>
      </c>
      <c r="B159" s="10">
        <f t="shared" si="47"/>
        <v>170833.3333333334</v>
      </c>
      <c r="C159" s="11">
        <f t="shared" si="48"/>
        <v>1.4999999999999999E-2</v>
      </c>
      <c r="D159" s="12">
        <f t="shared" si="49"/>
        <v>2562.5000000000009</v>
      </c>
      <c r="E159" s="12">
        <f t="shared" si="46"/>
        <v>4166.666666666667</v>
      </c>
      <c r="F159" s="13">
        <f t="shared" si="50"/>
        <v>166666.66666666674</v>
      </c>
    </row>
    <row r="160" spans="1:8">
      <c r="A160" s="5">
        <v>9</v>
      </c>
      <c r="B160" s="10">
        <f t="shared" si="47"/>
        <v>166666.66666666674</v>
      </c>
      <c r="C160" s="11">
        <f t="shared" si="48"/>
        <v>1.4999999999999999E-2</v>
      </c>
      <c r="D160" s="12">
        <f t="shared" si="49"/>
        <v>2500.0000000000009</v>
      </c>
      <c r="E160" s="12">
        <f t="shared" si="46"/>
        <v>4166.666666666667</v>
      </c>
      <c r="F160" s="13">
        <f t="shared" si="50"/>
        <v>162500.00000000009</v>
      </c>
    </row>
    <row r="161" spans="1:6">
      <c r="A161" s="5">
        <v>10</v>
      </c>
      <c r="B161" s="10">
        <f t="shared" si="47"/>
        <v>162500.00000000009</v>
      </c>
      <c r="C161" s="11">
        <f t="shared" si="48"/>
        <v>1.4999999999999999E-2</v>
      </c>
      <c r="D161" s="12">
        <f t="shared" si="49"/>
        <v>2437.5000000000014</v>
      </c>
      <c r="E161" s="12">
        <f t="shared" si="46"/>
        <v>4166.666666666667</v>
      </c>
      <c r="F161" s="13">
        <f t="shared" si="50"/>
        <v>158333.33333333343</v>
      </c>
    </row>
    <row r="162" spans="1:6">
      <c r="A162" s="5">
        <v>11</v>
      </c>
      <c r="B162" s="10">
        <f t="shared" si="47"/>
        <v>158333.33333333343</v>
      </c>
      <c r="C162" s="11">
        <f t="shared" si="48"/>
        <v>1.4999999999999999E-2</v>
      </c>
      <c r="D162" s="12">
        <f t="shared" si="49"/>
        <v>2375.0000000000014</v>
      </c>
      <c r="E162" s="12">
        <f t="shared" si="46"/>
        <v>4166.666666666667</v>
      </c>
      <c r="F162" s="13">
        <f t="shared" si="50"/>
        <v>154166.66666666677</v>
      </c>
    </row>
    <row r="163" spans="1:6">
      <c r="A163" s="5">
        <v>12</v>
      </c>
      <c r="B163" s="10">
        <f t="shared" si="47"/>
        <v>154166.66666666677</v>
      </c>
      <c r="C163" s="11">
        <f t="shared" si="48"/>
        <v>1.4999999999999999E-2</v>
      </c>
      <c r="D163" s="12">
        <f t="shared" si="49"/>
        <v>2312.5000000000014</v>
      </c>
      <c r="E163" s="12">
        <f t="shared" si="46"/>
        <v>4166.666666666667</v>
      </c>
      <c r="F163" s="13">
        <f t="shared" si="50"/>
        <v>150000.00000000012</v>
      </c>
    </row>
    <row r="164" spans="1:6">
      <c r="A164" s="5">
        <v>13</v>
      </c>
      <c r="B164" s="10">
        <f t="shared" si="47"/>
        <v>150000.00000000012</v>
      </c>
      <c r="C164" s="11">
        <f t="shared" si="48"/>
        <v>1.4999999999999999E-2</v>
      </c>
      <c r="D164" s="12">
        <f t="shared" si="49"/>
        <v>2250.0000000000018</v>
      </c>
      <c r="E164" s="12">
        <f t="shared" si="46"/>
        <v>4166.666666666667</v>
      </c>
      <c r="F164" s="13">
        <f t="shared" si="50"/>
        <v>145833.33333333346</v>
      </c>
    </row>
    <row r="165" spans="1:6">
      <c r="A165" s="5">
        <v>14</v>
      </c>
      <c r="B165" s="10">
        <f>F164</f>
        <v>145833.33333333346</v>
      </c>
      <c r="C165" s="11">
        <f>0.18/12</f>
        <v>1.4999999999999999E-2</v>
      </c>
      <c r="D165" s="12">
        <f>B165*C165</f>
        <v>2187.5000000000018</v>
      </c>
      <c r="E165" s="12">
        <f t="shared" si="46"/>
        <v>4166.666666666667</v>
      </c>
      <c r="F165" s="13">
        <f>B165-E165</f>
        <v>141666.6666666668</v>
      </c>
    </row>
    <row r="166" spans="1:6">
      <c r="A166" s="5">
        <v>15</v>
      </c>
      <c r="B166" s="10">
        <f t="shared" ref="B166:B187" si="51">F165</f>
        <v>141666.6666666668</v>
      </c>
      <c r="C166" s="11">
        <f t="shared" si="48"/>
        <v>1.4999999999999999E-2</v>
      </c>
      <c r="D166" s="12">
        <f t="shared" ref="D166:D187" si="52">B166*C166</f>
        <v>2125.0000000000018</v>
      </c>
      <c r="E166" s="12">
        <f t="shared" si="46"/>
        <v>4166.666666666667</v>
      </c>
      <c r="F166" s="13">
        <f t="shared" ref="F166:F187" si="53">B166-E166</f>
        <v>137500.00000000015</v>
      </c>
    </row>
    <row r="167" spans="1:6">
      <c r="A167" s="5">
        <v>16</v>
      </c>
      <c r="B167" s="10">
        <f t="shared" si="51"/>
        <v>137500.00000000015</v>
      </c>
      <c r="C167" s="11">
        <f t="shared" si="48"/>
        <v>1.4999999999999999E-2</v>
      </c>
      <c r="D167" s="12">
        <f t="shared" si="52"/>
        <v>2062.5000000000023</v>
      </c>
      <c r="E167" s="12">
        <f t="shared" si="46"/>
        <v>4166.666666666667</v>
      </c>
      <c r="F167" s="13">
        <f t="shared" si="53"/>
        <v>133333.33333333349</v>
      </c>
    </row>
    <row r="168" spans="1:6">
      <c r="A168" s="5">
        <v>17</v>
      </c>
      <c r="B168" s="10">
        <f t="shared" si="51"/>
        <v>133333.33333333349</v>
      </c>
      <c r="C168" s="11">
        <f t="shared" si="48"/>
        <v>1.4999999999999999E-2</v>
      </c>
      <c r="D168" s="12">
        <f t="shared" si="52"/>
        <v>2000.0000000000023</v>
      </c>
      <c r="E168" s="12">
        <f t="shared" si="46"/>
        <v>4166.666666666667</v>
      </c>
      <c r="F168" s="13">
        <f t="shared" si="53"/>
        <v>129166.66666666682</v>
      </c>
    </row>
    <row r="169" spans="1:6">
      <c r="A169" s="5">
        <v>18</v>
      </c>
      <c r="B169" s="10">
        <f t="shared" si="51"/>
        <v>129166.66666666682</v>
      </c>
      <c r="C169" s="11">
        <f t="shared" si="48"/>
        <v>1.4999999999999999E-2</v>
      </c>
      <c r="D169" s="12">
        <f t="shared" si="52"/>
        <v>1937.5000000000023</v>
      </c>
      <c r="E169" s="12">
        <f t="shared" si="46"/>
        <v>4166.666666666667</v>
      </c>
      <c r="F169" s="13">
        <f t="shared" si="53"/>
        <v>125000.00000000015</v>
      </c>
    </row>
    <row r="170" spans="1:6">
      <c r="A170" s="5">
        <v>19</v>
      </c>
      <c r="B170" s="10">
        <f t="shared" si="51"/>
        <v>125000.00000000015</v>
      </c>
      <c r="C170" s="11">
        <f t="shared" si="48"/>
        <v>1.4999999999999999E-2</v>
      </c>
      <c r="D170" s="12">
        <f t="shared" si="52"/>
        <v>1875.000000000002</v>
      </c>
      <c r="E170" s="12">
        <f t="shared" si="46"/>
        <v>4166.666666666667</v>
      </c>
      <c r="F170" s="13">
        <f t="shared" si="53"/>
        <v>120833.33333333347</v>
      </c>
    </row>
    <row r="171" spans="1:6">
      <c r="A171" s="5">
        <v>20</v>
      </c>
      <c r="B171" s="10">
        <f t="shared" si="51"/>
        <v>120833.33333333347</v>
      </c>
      <c r="C171" s="11">
        <f t="shared" si="48"/>
        <v>1.4999999999999999E-2</v>
      </c>
      <c r="D171" s="12">
        <f t="shared" si="52"/>
        <v>1812.500000000002</v>
      </c>
      <c r="E171" s="12">
        <f t="shared" si="46"/>
        <v>4166.666666666667</v>
      </c>
      <c r="F171" s="13">
        <f t="shared" si="53"/>
        <v>116666.6666666668</v>
      </c>
    </row>
    <row r="172" spans="1:6">
      <c r="A172" s="5">
        <v>21</v>
      </c>
      <c r="B172" s="10">
        <f t="shared" si="51"/>
        <v>116666.6666666668</v>
      </c>
      <c r="C172" s="11">
        <f t="shared" si="48"/>
        <v>1.4999999999999999E-2</v>
      </c>
      <c r="D172" s="12">
        <f t="shared" si="52"/>
        <v>1750.000000000002</v>
      </c>
      <c r="E172" s="12">
        <f t="shared" si="46"/>
        <v>4166.666666666667</v>
      </c>
      <c r="F172" s="13">
        <f t="shared" si="53"/>
        <v>112500.00000000013</v>
      </c>
    </row>
    <row r="173" spans="1:6">
      <c r="A173" s="5">
        <v>22</v>
      </c>
      <c r="B173" s="10">
        <f t="shared" si="51"/>
        <v>112500.00000000013</v>
      </c>
      <c r="C173" s="11">
        <f t="shared" si="48"/>
        <v>1.4999999999999999E-2</v>
      </c>
      <c r="D173" s="12">
        <f t="shared" si="52"/>
        <v>1687.5000000000018</v>
      </c>
      <c r="E173" s="12">
        <f t="shared" si="46"/>
        <v>4166.666666666667</v>
      </c>
      <c r="F173" s="13">
        <f t="shared" si="53"/>
        <v>108333.33333333346</v>
      </c>
    </row>
    <row r="174" spans="1:6">
      <c r="A174" s="5">
        <v>23</v>
      </c>
      <c r="B174" s="10">
        <f t="shared" si="51"/>
        <v>108333.33333333346</v>
      </c>
      <c r="C174" s="11">
        <f t="shared" si="48"/>
        <v>1.4999999999999999E-2</v>
      </c>
      <c r="D174" s="12">
        <f t="shared" si="52"/>
        <v>1625.0000000000018</v>
      </c>
      <c r="E174" s="12">
        <f t="shared" si="46"/>
        <v>4166.666666666667</v>
      </c>
      <c r="F174" s="13">
        <f t="shared" si="53"/>
        <v>104166.66666666679</v>
      </c>
    </row>
    <row r="175" spans="1:6">
      <c r="A175" s="5">
        <v>24</v>
      </c>
      <c r="B175" s="10">
        <f t="shared" si="51"/>
        <v>104166.66666666679</v>
      </c>
      <c r="C175" s="11">
        <f t="shared" si="48"/>
        <v>1.4999999999999999E-2</v>
      </c>
      <c r="D175" s="12">
        <f t="shared" si="52"/>
        <v>1562.5000000000018</v>
      </c>
      <c r="E175" s="12">
        <f t="shared" si="46"/>
        <v>4166.666666666667</v>
      </c>
      <c r="F175" s="13">
        <f t="shared" si="53"/>
        <v>100000.00000000012</v>
      </c>
    </row>
    <row r="176" spans="1:6">
      <c r="A176" s="5">
        <v>25</v>
      </c>
      <c r="B176" s="10">
        <f t="shared" si="51"/>
        <v>100000.00000000012</v>
      </c>
      <c r="C176" s="11">
        <f t="shared" si="48"/>
        <v>1.4999999999999999E-2</v>
      </c>
      <c r="D176" s="12">
        <f t="shared" si="52"/>
        <v>1500.0000000000016</v>
      </c>
      <c r="E176" s="12">
        <f t="shared" si="46"/>
        <v>4166.666666666667</v>
      </c>
      <c r="F176" s="13">
        <f t="shared" si="53"/>
        <v>95833.333333333445</v>
      </c>
    </row>
    <row r="177" spans="1:6">
      <c r="A177" s="5">
        <v>26</v>
      </c>
      <c r="B177" s="10">
        <f t="shared" si="51"/>
        <v>95833.333333333445</v>
      </c>
      <c r="C177" s="11">
        <f t="shared" si="48"/>
        <v>1.4999999999999999E-2</v>
      </c>
      <c r="D177" s="12">
        <f t="shared" si="52"/>
        <v>1437.5000000000016</v>
      </c>
      <c r="E177" s="12">
        <f t="shared" si="46"/>
        <v>4166.666666666667</v>
      </c>
      <c r="F177" s="13">
        <f t="shared" si="53"/>
        <v>91666.666666666773</v>
      </c>
    </row>
    <row r="178" spans="1:6">
      <c r="A178" s="5">
        <v>27</v>
      </c>
      <c r="B178" s="10">
        <f t="shared" si="51"/>
        <v>91666.666666666773</v>
      </c>
      <c r="C178" s="11">
        <f t="shared" si="48"/>
        <v>1.4999999999999999E-2</v>
      </c>
      <c r="D178" s="12">
        <f t="shared" si="52"/>
        <v>1375.0000000000016</v>
      </c>
      <c r="E178" s="12">
        <f t="shared" si="46"/>
        <v>4166.666666666667</v>
      </c>
      <c r="F178" s="13">
        <f t="shared" si="53"/>
        <v>87500.000000000102</v>
      </c>
    </row>
    <row r="179" spans="1:6">
      <c r="A179" s="5">
        <v>28</v>
      </c>
      <c r="B179" s="10">
        <f t="shared" si="51"/>
        <v>87500.000000000102</v>
      </c>
      <c r="C179" s="11">
        <f t="shared" si="48"/>
        <v>1.4999999999999999E-2</v>
      </c>
      <c r="D179" s="12">
        <f t="shared" si="52"/>
        <v>1312.5000000000016</v>
      </c>
      <c r="E179" s="12">
        <f t="shared" si="46"/>
        <v>4166.666666666667</v>
      </c>
      <c r="F179" s="13">
        <f t="shared" si="53"/>
        <v>83333.33333333343</v>
      </c>
    </row>
    <row r="180" spans="1:6">
      <c r="A180" s="5">
        <v>29</v>
      </c>
      <c r="B180" s="10">
        <f t="shared" si="51"/>
        <v>83333.33333333343</v>
      </c>
      <c r="C180" s="11">
        <f t="shared" si="48"/>
        <v>1.4999999999999999E-2</v>
      </c>
      <c r="D180" s="12">
        <f t="shared" si="52"/>
        <v>1250.0000000000014</v>
      </c>
      <c r="E180" s="12">
        <f t="shared" si="46"/>
        <v>4166.666666666667</v>
      </c>
      <c r="F180" s="13">
        <f t="shared" si="53"/>
        <v>79166.666666666759</v>
      </c>
    </row>
    <row r="181" spans="1:6">
      <c r="A181" s="5">
        <v>30</v>
      </c>
      <c r="B181" s="10">
        <f t="shared" si="51"/>
        <v>79166.666666666759</v>
      </c>
      <c r="C181" s="11">
        <f t="shared" si="48"/>
        <v>1.4999999999999999E-2</v>
      </c>
      <c r="D181" s="12">
        <f t="shared" si="52"/>
        <v>1187.5000000000014</v>
      </c>
      <c r="E181" s="12">
        <f t="shared" si="46"/>
        <v>4166.666666666667</v>
      </c>
      <c r="F181" s="13">
        <f t="shared" si="53"/>
        <v>75000.000000000087</v>
      </c>
    </row>
    <row r="182" spans="1:6">
      <c r="A182" s="5">
        <v>31</v>
      </c>
      <c r="B182" s="10">
        <f t="shared" si="51"/>
        <v>75000.000000000087</v>
      </c>
      <c r="C182" s="11">
        <f t="shared" si="48"/>
        <v>1.4999999999999999E-2</v>
      </c>
      <c r="D182" s="12">
        <f t="shared" si="52"/>
        <v>1125.0000000000014</v>
      </c>
      <c r="E182" s="12">
        <f t="shared" si="46"/>
        <v>4166.666666666667</v>
      </c>
      <c r="F182" s="13">
        <f t="shared" si="53"/>
        <v>70833.333333333416</v>
      </c>
    </row>
    <row r="183" spans="1:6">
      <c r="A183" s="5">
        <v>32</v>
      </c>
      <c r="B183" s="10">
        <f t="shared" si="51"/>
        <v>70833.333333333416</v>
      </c>
      <c r="C183" s="11">
        <f t="shared" si="48"/>
        <v>1.4999999999999999E-2</v>
      </c>
      <c r="D183" s="12">
        <f t="shared" si="52"/>
        <v>1062.5000000000011</v>
      </c>
      <c r="E183" s="12">
        <f t="shared" si="46"/>
        <v>4166.666666666667</v>
      </c>
      <c r="F183" s="13">
        <f t="shared" si="53"/>
        <v>66666.666666666744</v>
      </c>
    </row>
    <row r="184" spans="1:6">
      <c r="A184" s="5">
        <v>33</v>
      </c>
      <c r="B184" s="10">
        <f t="shared" si="51"/>
        <v>66666.666666666744</v>
      </c>
      <c r="C184" s="11">
        <f t="shared" si="48"/>
        <v>1.4999999999999999E-2</v>
      </c>
      <c r="D184" s="12">
        <f t="shared" si="52"/>
        <v>1000.0000000000011</v>
      </c>
      <c r="E184" s="12">
        <f t="shared" si="46"/>
        <v>4166.666666666667</v>
      </c>
      <c r="F184" s="13">
        <f t="shared" si="53"/>
        <v>62500.00000000008</v>
      </c>
    </row>
    <row r="185" spans="1:6">
      <c r="A185" s="5">
        <v>34</v>
      </c>
      <c r="B185" s="10">
        <f t="shared" si="51"/>
        <v>62500.00000000008</v>
      </c>
      <c r="C185" s="11">
        <f t="shared" si="48"/>
        <v>1.4999999999999999E-2</v>
      </c>
      <c r="D185" s="12">
        <f t="shared" si="52"/>
        <v>937.50000000000114</v>
      </c>
      <c r="E185" s="12">
        <f t="shared" si="46"/>
        <v>4166.666666666667</v>
      </c>
      <c r="F185" s="13">
        <f t="shared" si="53"/>
        <v>58333.333333333416</v>
      </c>
    </row>
    <row r="186" spans="1:6">
      <c r="A186" s="5">
        <v>35</v>
      </c>
      <c r="B186" s="10">
        <f t="shared" si="51"/>
        <v>58333.333333333416</v>
      </c>
      <c r="C186" s="11">
        <f t="shared" si="48"/>
        <v>1.4999999999999999E-2</v>
      </c>
      <c r="D186" s="12">
        <f t="shared" si="52"/>
        <v>875.00000000000125</v>
      </c>
      <c r="E186" s="12">
        <f t="shared" si="46"/>
        <v>4166.666666666667</v>
      </c>
      <c r="F186" s="13">
        <f t="shared" si="53"/>
        <v>54166.666666666752</v>
      </c>
    </row>
    <row r="187" spans="1:6">
      <c r="A187" s="5">
        <v>36</v>
      </c>
      <c r="B187" s="10">
        <f t="shared" si="51"/>
        <v>54166.666666666752</v>
      </c>
      <c r="C187" s="11">
        <f t="shared" si="48"/>
        <v>1.4999999999999999E-2</v>
      </c>
      <c r="D187" s="12">
        <f t="shared" si="52"/>
        <v>812.50000000000125</v>
      </c>
      <c r="E187" s="12">
        <f t="shared" si="46"/>
        <v>4166.666666666667</v>
      </c>
      <c r="F187" s="13">
        <f t="shared" si="53"/>
        <v>50000.000000000087</v>
      </c>
    </row>
    <row r="188" spans="1:6">
      <c r="A188" s="5">
        <v>37</v>
      </c>
      <c r="B188" s="10">
        <f t="shared" ref="B188:B199" si="54">F187</f>
        <v>50000.000000000087</v>
      </c>
      <c r="C188" s="11">
        <f t="shared" si="48"/>
        <v>1.4999999999999999E-2</v>
      </c>
      <c r="D188" s="12">
        <f t="shared" ref="D188:D199" si="55">B188*C188</f>
        <v>750.00000000000125</v>
      </c>
      <c r="E188" s="12">
        <f t="shared" si="46"/>
        <v>4166.666666666667</v>
      </c>
      <c r="F188" s="13">
        <f t="shared" ref="F188:F199" si="56">B188-E188</f>
        <v>45833.333333333423</v>
      </c>
    </row>
    <row r="189" spans="1:6">
      <c r="A189" s="5">
        <v>38</v>
      </c>
      <c r="B189" s="10">
        <f t="shared" si="54"/>
        <v>45833.333333333423</v>
      </c>
      <c r="C189" s="11">
        <f t="shared" si="48"/>
        <v>1.4999999999999999E-2</v>
      </c>
      <c r="D189" s="12">
        <f t="shared" si="55"/>
        <v>687.50000000000136</v>
      </c>
      <c r="E189" s="12">
        <f t="shared" si="46"/>
        <v>4166.666666666667</v>
      </c>
      <c r="F189" s="13">
        <f t="shared" si="56"/>
        <v>41666.666666666759</v>
      </c>
    </row>
    <row r="190" spans="1:6">
      <c r="A190" s="5">
        <v>39</v>
      </c>
      <c r="B190" s="10">
        <f t="shared" si="54"/>
        <v>41666.666666666759</v>
      </c>
      <c r="C190" s="11">
        <f t="shared" si="48"/>
        <v>1.4999999999999999E-2</v>
      </c>
      <c r="D190" s="12">
        <f t="shared" si="55"/>
        <v>625.00000000000136</v>
      </c>
      <c r="E190" s="12">
        <f t="shared" si="46"/>
        <v>4166.666666666667</v>
      </c>
      <c r="F190" s="13">
        <f t="shared" si="56"/>
        <v>37500.000000000095</v>
      </c>
    </row>
    <row r="191" spans="1:6">
      <c r="A191" s="5">
        <v>40</v>
      </c>
      <c r="B191" s="10">
        <f t="shared" si="54"/>
        <v>37500.000000000095</v>
      </c>
      <c r="C191" s="11">
        <f t="shared" si="48"/>
        <v>1.4999999999999999E-2</v>
      </c>
      <c r="D191" s="12">
        <f t="shared" si="55"/>
        <v>562.50000000000136</v>
      </c>
      <c r="E191" s="12">
        <f t="shared" si="46"/>
        <v>4166.666666666667</v>
      </c>
      <c r="F191" s="13">
        <f t="shared" si="56"/>
        <v>33333.33333333343</v>
      </c>
    </row>
    <row r="192" spans="1:6">
      <c r="A192" s="5">
        <v>41</v>
      </c>
      <c r="B192" s="10">
        <f t="shared" si="54"/>
        <v>33333.33333333343</v>
      </c>
      <c r="C192" s="11">
        <f t="shared" si="48"/>
        <v>1.4999999999999999E-2</v>
      </c>
      <c r="D192" s="12">
        <f t="shared" si="55"/>
        <v>500.00000000000142</v>
      </c>
      <c r="E192" s="12">
        <f t="shared" si="46"/>
        <v>4166.666666666667</v>
      </c>
      <c r="F192" s="13">
        <f t="shared" si="56"/>
        <v>29166.666666666762</v>
      </c>
    </row>
    <row r="193" spans="1:6">
      <c r="A193" s="5">
        <v>42</v>
      </c>
      <c r="B193" s="10">
        <f t="shared" si="54"/>
        <v>29166.666666666762</v>
      </c>
      <c r="C193" s="11">
        <f t="shared" si="48"/>
        <v>1.4999999999999999E-2</v>
      </c>
      <c r="D193" s="12">
        <f t="shared" si="55"/>
        <v>437.50000000000142</v>
      </c>
      <c r="E193" s="12">
        <f t="shared" si="46"/>
        <v>4166.666666666667</v>
      </c>
      <c r="F193" s="13">
        <f t="shared" si="56"/>
        <v>25000.000000000095</v>
      </c>
    </row>
    <row r="194" spans="1:6">
      <c r="A194" s="5">
        <v>43</v>
      </c>
      <c r="B194" s="10">
        <f t="shared" si="54"/>
        <v>25000.000000000095</v>
      </c>
      <c r="C194" s="11">
        <f t="shared" si="48"/>
        <v>1.4999999999999999E-2</v>
      </c>
      <c r="D194" s="12">
        <f t="shared" si="55"/>
        <v>375.00000000000142</v>
      </c>
      <c r="E194" s="12">
        <f t="shared" si="46"/>
        <v>4166.666666666667</v>
      </c>
      <c r="F194" s="13">
        <f t="shared" si="56"/>
        <v>20833.333333333427</v>
      </c>
    </row>
    <row r="195" spans="1:6">
      <c r="A195" s="5">
        <v>44</v>
      </c>
      <c r="B195" s="10">
        <f t="shared" si="54"/>
        <v>20833.333333333427</v>
      </c>
      <c r="C195" s="11">
        <f t="shared" si="48"/>
        <v>1.4999999999999999E-2</v>
      </c>
      <c r="D195" s="12">
        <f t="shared" si="55"/>
        <v>312.50000000000136</v>
      </c>
      <c r="E195" s="12">
        <f t="shared" si="46"/>
        <v>4166.666666666667</v>
      </c>
      <c r="F195" s="13">
        <f t="shared" si="56"/>
        <v>16666.666666666759</v>
      </c>
    </row>
    <row r="196" spans="1:6">
      <c r="A196" s="5">
        <v>45</v>
      </c>
      <c r="B196" s="10">
        <f t="shared" si="54"/>
        <v>16666.666666666759</v>
      </c>
      <c r="C196" s="11">
        <f t="shared" si="48"/>
        <v>1.4999999999999999E-2</v>
      </c>
      <c r="D196" s="12">
        <f t="shared" si="55"/>
        <v>250.00000000000136</v>
      </c>
      <c r="E196" s="12">
        <f t="shared" si="46"/>
        <v>4166.666666666667</v>
      </c>
      <c r="F196" s="13">
        <f t="shared" si="56"/>
        <v>12500.000000000091</v>
      </c>
    </row>
    <row r="197" spans="1:6">
      <c r="A197" s="5">
        <v>46</v>
      </c>
      <c r="B197" s="10">
        <f t="shared" si="54"/>
        <v>12500.000000000091</v>
      </c>
      <c r="C197" s="11">
        <f t="shared" si="48"/>
        <v>1.4999999999999999E-2</v>
      </c>
      <c r="D197" s="12">
        <f t="shared" si="55"/>
        <v>187.50000000000136</v>
      </c>
      <c r="E197" s="12">
        <f t="shared" si="46"/>
        <v>4166.666666666667</v>
      </c>
      <c r="F197" s="13">
        <f t="shared" si="56"/>
        <v>8333.3333333334231</v>
      </c>
    </row>
    <row r="198" spans="1:6">
      <c r="A198" s="5">
        <v>47</v>
      </c>
      <c r="B198" s="10">
        <f t="shared" si="54"/>
        <v>8333.3333333334231</v>
      </c>
      <c r="C198" s="11">
        <f t="shared" si="48"/>
        <v>1.4999999999999999E-2</v>
      </c>
      <c r="D198" s="12">
        <f t="shared" si="55"/>
        <v>125.00000000000134</v>
      </c>
      <c r="E198" s="12">
        <f t="shared" si="46"/>
        <v>4166.666666666667</v>
      </c>
      <c r="F198" s="13">
        <f t="shared" si="56"/>
        <v>4166.6666666667561</v>
      </c>
    </row>
    <row r="199" spans="1:6">
      <c r="A199" s="5">
        <v>48</v>
      </c>
      <c r="B199" s="10">
        <f t="shared" si="54"/>
        <v>4166.6666666667561</v>
      </c>
      <c r="C199" s="11">
        <f t="shared" si="48"/>
        <v>1.4999999999999999E-2</v>
      </c>
      <c r="D199" s="12">
        <f t="shared" si="55"/>
        <v>62.500000000001336</v>
      </c>
      <c r="E199" s="12">
        <f t="shared" si="46"/>
        <v>4166.666666666667</v>
      </c>
      <c r="F199" s="13">
        <f t="shared" si="56"/>
        <v>8.9130480773746967E-11</v>
      </c>
    </row>
    <row r="200" spans="1:6">
      <c r="A200" s="5"/>
      <c r="B200" s="10"/>
      <c r="C200" s="11"/>
      <c r="D200" s="12"/>
      <c r="E200" s="12"/>
      <c r="F200" s="13"/>
    </row>
    <row r="201" spans="1:6">
      <c r="A201" s="16" t="s">
        <v>5</v>
      </c>
      <c r="B201" s="17"/>
      <c r="C201" s="18"/>
      <c r="D201" s="19">
        <f>SUM(D152:D199)</f>
        <v>73500</v>
      </c>
      <c r="E201" s="19">
        <f>SUM(E152:E199)</f>
        <v>199999.99999999991</v>
      </c>
      <c r="F201" s="1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G45"/>
  <sheetViews>
    <sheetView topLeftCell="A27" workbookViewId="0">
      <selection activeCell="C43" sqref="C43"/>
    </sheetView>
  </sheetViews>
  <sheetFormatPr defaultRowHeight="12.75"/>
  <cols>
    <col min="1" max="1" width="20.140625" style="192" customWidth="1"/>
    <col min="2" max="2" width="37" style="192" bestFit="1" customWidth="1"/>
    <col min="3" max="4" width="8.7109375" style="192" customWidth="1"/>
    <col min="5" max="5" width="9.7109375" style="192" customWidth="1"/>
    <col min="6" max="6" width="42.7109375" style="192" customWidth="1"/>
    <col min="7" max="7" width="16.7109375" style="192" customWidth="1"/>
    <col min="8" max="16384" width="9.140625" style="192"/>
  </cols>
  <sheetData>
    <row r="1" spans="1:6" s="165" customFormat="1" ht="15.75">
      <c r="A1" s="164" t="s">
        <v>238</v>
      </c>
    </row>
    <row r="2" spans="1:6" s="167" customFormat="1">
      <c r="A2" s="166">
        <v>1</v>
      </c>
      <c r="B2" s="167" t="s">
        <v>239</v>
      </c>
    </row>
    <row r="3" spans="1:6" s="167" customFormat="1">
      <c r="A3" s="166">
        <v>2</v>
      </c>
      <c r="B3" s="168" t="s">
        <v>240</v>
      </c>
    </row>
    <row r="4" spans="1:6" s="167" customFormat="1">
      <c r="A4" s="166">
        <v>3</v>
      </c>
      <c r="B4" s="168" t="s">
        <v>241</v>
      </c>
    </row>
    <row r="5" spans="1:6" s="167" customFormat="1">
      <c r="A5" s="166">
        <v>4</v>
      </c>
      <c r="B5" s="168" t="s">
        <v>242</v>
      </c>
    </row>
    <row r="6" spans="1:6" s="168" customFormat="1" ht="13.5" thickBot="1">
      <c r="A6" s="169"/>
      <c r="B6" s="170"/>
    </row>
    <row r="7" spans="1:6" s="167" customFormat="1" ht="13.5" thickBot="1">
      <c r="A7" s="171" t="s">
        <v>243</v>
      </c>
      <c r="B7" s="172" t="s">
        <v>244</v>
      </c>
      <c r="D7" s="171" t="s">
        <v>245</v>
      </c>
      <c r="E7" s="173"/>
      <c r="F7" s="172"/>
    </row>
    <row r="8" spans="1:6" s="167" customFormat="1">
      <c r="A8" s="174" t="s">
        <v>246</v>
      </c>
      <c r="B8" s="175" t="s">
        <v>247</v>
      </c>
      <c r="D8" s="174"/>
      <c r="E8" s="168"/>
      <c r="F8" s="176"/>
    </row>
    <row r="9" spans="1:6" s="167" customFormat="1">
      <c r="A9" s="174" t="s">
        <v>248</v>
      </c>
      <c r="B9" s="177" t="s">
        <v>283</v>
      </c>
      <c r="D9" s="174" t="s">
        <v>249</v>
      </c>
      <c r="E9" s="168"/>
      <c r="F9" s="178" t="str">
        <f ca="1">CELL("filename",F9)</f>
        <v>C:\Users\Geraldine\AppData\Local\Microsoft\Windows\Temporary Internet Files\Content.Outlook\OGF9Q1UL\[Reducing Balance Test Cases v0 4.xlsx]Cover Sheet</v>
      </c>
    </row>
    <row r="10" spans="1:6" s="167" customFormat="1">
      <c r="A10" s="174" t="s">
        <v>250</v>
      </c>
      <c r="B10" s="177" t="s">
        <v>284</v>
      </c>
      <c r="D10" s="174" t="s">
        <v>251</v>
      </c>
      <c r="E10" s="168"/>
      <c r="F10" s="178">
        <f ca="1">FIND("[",F9)</f>
        <v>102</v>
      </c>
    </row>
    <row r="11" spans="1:6" s="167" customFormat="1">
      <c r="A11" s="174" t="s">
        <v>252</v>
      </c>
      <c r="B11" s="177" t="s">
        <v>253</v>
      </c>
      <c r="C11" s="179"/>
      <c r="D11" s="174"/>
      <c r="E11" s="168"/>
      <c r="F11" s="178"/>
    </row>
    <row r="12" spans="1:6" s="167" customFormat="1">
      <c r="A12" s="174" t="s">
        <v>254</v>
      </c>
      <c r="B12" s="177"/>
      <c r="C12" s="179"/>
      <c r="D12" s="174"/>
      <c r="E12" s="168"/>
      <c r="F12" s="178"/>
    </row>
    <row r="13" spans="1:6" s="167" customFormat="1">
      <c r="A13" s="174" t="s">
        <v>255</v>
      </c>
      <c r="B13" s="180" t="s">
        <v>256</v>
      </c>
      <c r="D13" s="174" t="s">
        <v>257</v>
      </c>
      <c r="E13" s="168"/>
      <c r="F13" s="178">
        <f ca="1">FIND("]",F9)</f>
        <v>140</v>
      </c>
    </row>
    <row r="14" spans="1:6" s="167" customFormat="1">
      <c r="B14" s="182"/>
      <c r="D14" s="174" t="s">
        <v>259</v>
      </c>
      <c r="E14" s="168"/>
      <c r="F14" s="178" t="str">
        <f ca="1">MID(F9,F10+1,F13-F10-1)</f>
        <v>Reducing Balance Test Cases v0 4.xlsx</v>
      </c>
    </row>
    <row r="15" spans="1:6" s="167" customFormat="1" ht="13.5" thickBot="1">
      <c r="A15" s="181" t="s">
        <v>258</v>
      </c>
      <c r="B15" s="182">
        <v>0</v>
      </c>
      <c r="D15" s="183" t="s">
        <v>260</v>
      </c>
      <c r="E15" s="169"/>
      <c r="F15" s="184" t="str">
        <f ca="1">IF(ISERROR(F14),"Not yet saved",F14)</f>
        <v>Reducing Balance Test Cases v0 4.xlsx</v>
      </c>
    </row>
    <row r="16" spans="1:6" s="167" customFormat="1" ht="13.5" thickBot="1">
      <c r="A16" s="181" t="s">
        <v>261</v>
      </c>
      <c r="B16" s="182">
        <v>3</v>
      </c>
    </row>
    <row r="17" spans="1:7" s="167" customFormat="1">
      <c r="A17" s="181" t="s">
        <v>262</v>
      </c>
      <c r="B17" s="185">
        <v>40553</v>
      </c>
      <c r="D17" s="186" t="s">
        <v>263</v>
      </c>
      <c r="E17" s="187" t="s">
        <v>264</v>
      </c>
      <c r="F17" s="188" t="str">
        <f>B9</f>
        <v>VSL Testing</v>
      </c>
    </row>
    <row r="18" spans="1:7" s="167" customFormat="1">
      <c r="A18" s="174" t="s">
        <v>265</v>
      </c>
      <c r="B18" s="177" t="s">
        <v>266</v>
      </c>
      <c r="D18" s="174"/>
      <c r="E18" s="168" t="s">
        <v>267</v>
      </c>
      <c r="F18" s="189" t="str">
        <f>B10</f>
        <v>VSL Reducing Balance Test Cases</v>
      </c>
    </row>
    <row r="19" spans="1:7" s="167" customFormat="1">
      <c r="A19" s="174" t="s">
        <v>268</v>
      </c>
      <c r="B19" s="177" t="s">
        <v>269</v>
      </c>
      <c r="D19" s="174"/>
      <c r="E19" s="168" t="s">
        <v>270</v>
      </c>
      <c r="F19" s="189" t="str">
        <f>CONCATENATE("Version ",B14,".",B15,".",B16)</f>
        <v>Version .0.3</v>
      </c>
    </row>
    <row r="20" spans="1:7" s="167" customFormat="1">
      <c r="A20" s="174" t="s">
        <v>271</v>
      </c>
      <c r="B20" s="180" t="str">
        <f>IF(B16&lt;&gt;0,"Provisional",IF(B15&lt;&gt;0,"Interim",IF(B14&lt;&gt;0,"Approved","Snapshot")))</f>
        <v>Provisional</v>
      </c>
      <c r="D20" s="174"/>
      <c r="E20" s="168" t="s">
        <v>272</v>
      </c>
      <c r="F20" s="189" t="str">
        <f>CONCATENATE("Released ",TEXT(B17,"d mmmm yyyy"))</f>
        <v>Released 10 January 2011</v>
      </c>
    </row>
    <row r="21" spans="1:7" s="167" customFormat="1">
      <c r="A21" s="174" t="s">
        <v>273</v>
      </c>
      <c r="B21" s="177" t="s">
        <v>274</v>
      </c>
      <c r="D21" s="174" t="s">
        <v>275</v>
      </c>
      <c r="E21" s="168" t="s">
        <v>264</v>
      </c>
      <c r="F21" s="189" t="str">
        <f ca="1">F15</f>
        <v>Reducing Balance Test Cases v0 4.xlsx</v>
      </c>
    </row>
    <row r="22" spans="1:7" s="167" customFormat="1" ht="39" thickBot="1">
      <c r="A22" s="183" t="s">
        <v>276</v>
      </c>
      <c r="B22" s="190" t="s">
        <v>285</v>
      </c>
      <c r="D22" s="183"/>
      <c r="E22" s="169" t="s">
        <v>267</v>
      </c>
      <c r="F22" s="191" t="str">
        <f>CONCATENATE(B19,", ",B20,", ",B21)</f>
        <v>Confidential, Provisional, ©Software Group BG 2011</v>
      </c>
    </row>
    <row r="23" spans="1:7" ht="72" customHeight="1"/>
    <row r="24" spans="1:7" s="193" customFormat="1" ht="20.25">
      <c r="C24" s="213" t="str">
        <f>B9</f>
        <v>VSL Testing</v>
      </c>
      <c r="D24" s="213"/>
      <c r="E24" s="213"/>
      <c r="F24" s="213"/>
      <c r="G24" s="213"/>
    </row>
    <row r="25" spans="1:7" ht="20.25">
      <c r="C25" s="213" t="str">
        <f>B10</f>
        <v>VSL Reducing Balance Test Cases</v>
      </c>
      <c r="D25" s="213"/>
      <c r="E25" s="213"/>
      <c r="F25" s="213"/>
      <c r="G25" s="213"/>
    </row>
    <row r="26" spans="1:7" ht="20.25">
      <c r="C26" s="213" t="str">
        <f xml:space="preserve"> "Version " &amp; B15 &amp; "." &amp;B16</f>
        <v>Version 0.3</v>
      </c>
      <c r="D26" s="213"/>
      <c r="E26" s="213"/>
      <c r="F26" s="213"/>
      <c r="G26" s="213"/>
    </row>
    <row r="27" spans="1:7" ht="36" customHeight="1"/>
    <row r="28" spans="1:7" ht="75" customHeight="1">
      <c r="E28" s="214" t="str">
        <f>"Summary: " &amp; B22</f>
        <v>Summary: This document contains the test cases required to test the Reducing Balance loan schedule calculation functionality of MIFOS.</v>
      </c>
      <c r="F28" s="214"/>
    </row>
    <row r="29" spans="1:7">
      <c r="C29" s="215" t="s">
        <v>277</v>
      </c>
      <c r="D29" s="215"/>
      <c r="E29" s="216">
        <f>B17</f>
        <v>40553</v>
      </c>
      <c r="F29" s="216"/>
      <c r="G29" s="216"/>
    </row>
    <row r="30" spans="1:7">
      <c r="C30" s="215" t="s">
        <v>265</v>
      </c>
      <c r="D30" s="215"/>
      <c r="E30" s="215" t="str">
        <f>B18</f>
        <v>Spencer Morley</v>
      </c>
      <c r="F30" s="215"/>
      <c r="G30" s="215"/>
    </row>
    <row r="31" spans="1:7">
      <c r="C31" s="215" t="s">
        <v>268</v>
      </c>
      <c r="D31" s="215"/>
      <c r="E31" s="215" t="str">
        <f>B19</f>
        <v>Confidential</v>
      </c>
      <c r="F31" s="215"/>
      <c r="G31" s="215"/>
    </row>
    <row r="32" spans="1:7">
      <c r="C32" s="215" t="s">
        <v>271</v>
      </c>
      <c r="D32" s="215"/>
      <c r="E32" s="215" t="str">
        <f>B20</f>
        <v>Provisional</v>
      </c>
      <c r="F32" s="215"/>
      <c r="G32" s="215"/>
    </row>
    <row r="33" spans="3:7">
      <c r="C33" s="215" t="s">
        <v>273</v>
      </c>
      <c r="D33" s="215"/>
      <c r="E33" s="215" t="str">
        <f>B21</f>
        <v>©Software Group BG 2011</v>
      </c>
      <c r="F33" s="215"/>
      <c r="G33" s="215"/>
    </row>
    <row r="34" spans="3:7">
      <c r="C34" s="215" t="s">
        <v>278</v>
      </c>
      <c r="D34" s="215"/>
      <c r="E34" s="215" t="str">
        <f ca="1">F15</f>
        <v>Reducing Balance Test Cases v0 4.xlsx</v>
      </c>
      <c r="F34" s="215"/>
      <c r="G34" s="215"/>
    </row>
    <row r="35" spans="3:7" ht="36" customHeight="1"/>
    <row r="36" spans="3:7" ht="20.25">
      <c r="C36" s="220" t="s">
        <v>279</v>
      </c>
      <c r="D36" s="220"/>
      <c r="E36" s="220"/>
      <c r="F36" s="220"/>
      <c r="G36" s="220"/>
    </row>
    <row r="37" spans="3:7" ht="36" customHeight="1"/>
    <row r="38" spans="3:7">
      <c r="C38" s="194" t="s">
        <v>255</v>
      </c>
      <c r="D38" s="195" t="s">
        <v>277</v>
      </c>
      <c r="E38" s="196"/>
      <c r="F38" s="194" t="s">
        <v>280</v>
      </c>
      <c r="G38" s="194" t="s">
        <v>281</v>
      </c>
    </row>
    <row r="39" spans="3:7">
      <c r="C39" s="197">
        <v>0.1</v>
      </c>
      <c r="D39" s="217"/>
      <c r="E39" s="217"/>
      <c r="F39" s="198" t="s">
        <v>295</v>
      </c>
      <c r="G39" s="197"/>
    </row>
    <row r="40" spans="3:7">
      <c r="C40" s="197">
        <v>0.2</v>
      </c>
      <c r="D40" s="217">
        <v>40549</v>
      </c>
      <c r="E40" s="217"/>
      <c r="F40" s="198" t="s">
        <v>286</v>
      </c>
      <c r="G40" s="197" t="s">
        <v>266</v>
      </c>
    </row>
    <row r="41" spans="3:7">
      <c r="C41" s="197">
        <v>0.3</v>
      </c>
      <c r="D41" s="217">
        <v>40553</v>
      </c>
      <c r="E41" s="217"/>
      <c r="F41" s="197" t="s">
        <v>287</v>
      </c>
      <c r="G41" s="197" t="s">
        <v>266</v>
      </c>
    </row>
    <row r="42" spans="3:7">
      <c r="C42" s="197">
        <v>0.4</v>
      </c>
      <c r="D42" s="218">
        <v>40553</v>
      </c>
      <c r="E42" s="219"/>
      <c r="F42" s="197" t="s">
        <v>329</v>
      </c>
      <c r="G42" s="197" t="s">
        <v>266</v>
      </c>
    </row>
    <row r="43" spans="3:7">
      <c r="C43" s="197"/>
      <c r="D43" s="217"/>
      <c r="E43" s="217"/>
      <c r="F43" s="197"/>
      <c r="G43" s="197"/>
    </row>
    <row r="44" spans="3:7">
      <c r="D44" s="199"/>
    </row>
    <row r="45" spans="3:7">
      <c r="D45" s="199"/>
    </row>
  </sheetData>
  <mergeCells count="22">
    <mergeCell ref="D40:E40"/>
    <mergeCell ref="D41:E41"/>
    <mergeCell ref="D42:E42"/>
    <mergeCell ref="D43:E43"/>
    <mergeCell ref="C33:D33"/>
    <mergeCell ref="E33:G33"/>
    <mergeCell ref="C34:D34"/>
    <mergeCell ref="E34:G34"/>
    <mergeCell ref="C36:G36"/>
    <mergeCell ref="D39:E39"/>
    <mergeCell ref="C30:D30"/>
    <mergeCell ref="E30:G30"/>
    <mergeCell ref="C31:D31"/>
    <mergeCell ref="E31:G31"/>
    <mergeCell ref="C32:D32"/>
    <mergeCell ref="E32:G32"/>
    <mergeCell ref="C24:G24"/>
    <mergeCell ref="C25:G25"/>
    <mergeCell ref="C26:G26"/>
    <mergeCell ref="E28:F28"/>
    <mergeCell ref="C29:D29"/>
    <mergeCell ref="E29:G29"/>
  </mergeCells>
  <pageMargins left="0.74803149606299213" right="0.74803149606299213" top="0.98425196850393704" bottom="0.98425196850393704" header="0.51181102362204722" footer="0.51181102362204722"/>
  <pageSetup paperSize="9" orientation="portrait" horizontalDpi="4294967293" r:id="rId1"/>
  <headerFooter alignWithMargins="0">
    <oddFooter>&amp;R&amp;"Times New Roman,Regular"&amp;8&amp;A
Page &amp;P of &amp;N</oddFooter>
  </headerFooter>
</worksheet>
</file>

<file path=xl/worksheets/sheet9.xml><?xml version="1.0" encoding="utf-8"?>
<worksheet xmlns="http://schemas.openxmlformats.org/spreadsheetml/2006/main" xmlns:r="http://schemas.openxmlformats.org/officeDocument/2006/relationships">
  <dimension ref="A1:A14"/>
  <sheetViews>
    <sheetView workbookViewId="0">
      <selection activeCell="A28" sqref="A28"/>
    </sheetView>
  </sheetViews>
  <sheetFormatPr defaultRowHeight="12.75"/>
  <cols>
    <col min="1" max="1" width="77.7109375" style="201" customWidth="1"/>
    <col min="2" max="16384" width="9.140625" style="201"/>
  </cols>
  <sheetData>
    <row r="1" spans="1:1" ht="20.25">
      <c r="A1" s="200" t="s">
        <v>282</v>
      </c>
    </row>
    <row r="2" spans="1:1" ht="18.75">
      <c r="A2" s="202" t="s">
        <v>291</v>
      </c>
    </row>
    <row r="3" spans="1:1">
      <c r="A3" s="201" t="s">
        <v>293</v>
      </c>
    </row>
    <row r="4" spans="1:1" ht="18.75">
      <c r="A4" s="202" t="s">
        <v>290</v>
      </c>
    </row>
    <row r="5" spans="1:1">
      <c r="A5" s="201" t="str">
        <f>'Cover Sheet'!F40</f>
        <v>Internal release of first draft.</v>
      </c>
    </row>
    <row r="6" spans="1:1" ht="18.75">
      <c r="A6" s="202" t="s">
        <v>294</v>
      </c>
    </row>
    <row r="7" spans="1:1">
      <c r="A7" s="201" t="s">
        <v>288</v>
      </c>
    </row>
    <row r="8" spans="1:1">
      <c r="A8" s="201" t="s">
        <v>289</v>
      </c>
    </row>
    <row r="9" spans="1:1" ht="18.75">
      <c r="A9" s="202" t="s">
        <v>330</v>
      </c>
    </row>
    <row r="10" spans="1:1">
      <c r="A10" s="204" t="s">
        <v>331</v>
      </c>
    </row>
    <row r="11" spans="1:1">
      <c r="A11" s="204" t="s">
        <v>332</v>
      </c>
    </row>
    <row r="12" spans="1:1" ht="18.75">
      <c r="A12" s="202"/>
    </row>
    <row r="14" spans="1:1" ht="18.75">
      <c r="A14" s="202"/>
    </row>
  </sheetData>
  <pageMargins left="0.74803149606299213" right="0.74803149606299213" top="0.98425196850393704" bottom="0.98425196850393704" header="0.51181102362204722" footer="0.51181102362204722"/>
  <pageSetup paperSize="9" orientation="portrait" horizontalDpi="4294967293" r:id="rId1"/>
  <headerFooter alignWithMargins="0">
    <oddHeader>&amp;L&amp;"Times New Roman,Regular"&amp;8Alpheus-Project
Alpheus-Project Excel Template&amp;R&amp;"Times New Roman,Regular"&amp;8Version 0.0.1
Released 30 June 2005</oddHeader>
    <oddFooter>&amp;L&amp;"Times New Roman,Regular"&amp;8
Alpheus-Porject.xlt
Confidential, Provisional, ©Alpheus 2005&amp;R&amp;"Times New Roman,Regular"&amp;8&amp;A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Summary</vt:lpstr>
      <vt:lpstr>5000</vt:lpstr>
      <vt:lpstr>10000</vt:lpstr>
      <vt:lpstr>20000</vt:lpstr>
      <vt:lpstr>100000</vt:lpstr>
      <vt:lpstr>200000</vt:lpstr>
      <vt:lpstr>Pawdep scenario</vt:lpstr>
      <vt:lpstr>Cover Sheet</vt:lpstr>
      <vt:lpstr>Release Notes</vt:lpstr>
      <vt:lpstr>payment scenarios</vt:lpstr>
      <vt:lpstr>Results</vt:lpstr>
      <vt:lpstr>Outstanding issues</vt:lpstr>
      <vt:lpstr>'Cover Sheet'!Print_Area</vt:lpstr>
    </vt:vector>
  </TitlesOfParts>
  <Company>Josephine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Josephine</dc:creator>
  <cp:lastModifiedBy>Geraldine</cp:lastModifiedBy>
  <dcterms:created xsi:type="dcterms:W3CDTF">2010-10-11T08:33:26Z</dcterms:created>
  <dcterms:modified xsi:type="dcterms:W3CDTF">2011-01-10T11:39:56Z</dcterms:modified>
</cp:coreProperties>
</file>