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6605" windowHeight="6150" tabRatio="851" firstSheet="1" activeTab="5"/>
  </bookViews>
  <sheets>
    <sheet name="Instructions" sheetId="1" r:id="rId1"/>
    <sheet name="Generic ROI setup" sheetId="2" r:id="rId2"/>
    <sheet name="FA Chart" sheetId="3" r:id="rId3"/>
    <sheet name="Financial Analysis in USD" sheetId="4" r:id="rId4"/>
    <sheet name="Financial Analysis" sheetId="5" r:id="rId5"/>
    <sheet name="Calculation Definitions &amp; Notes" sheetId="6" r:id="rId6"/>
    <sheet name="Sheet1" sheetId="7" r:id="rId7"/>
    <sheet name="Sheet2" sheetId="8" r:id="rId8"/>
  </sheets>
  <externalReferences>
    <externalReference r:id="rId9"/>
  </externalReferences>
  <definedNames>
    <definedName name="DD_HOSTING" localSheetId="3">#REF!</definedName>
    <definedName name="DD_HOSTING">#REF!</definedName>
    <definedName name="DD_YESNO" localSheetId="3">#REF!</definedName>
    <definedName name="DD_YESNO">#REF!</definedName>
    <definedName name="_xlnm.Print_Area" localSheetId="4">'Financial Analysis'!$A$2:$J$41</definedName>
    <definedName name="_xlnm.Print_Area" localSheetId="3">'Financial Analysis in USD'!$A$2:$J$41</definedName>
    <definedName name="Program_List">'[1]Named Ranges'!$A$2:$E$39</definedName>
    <definedName name="Program_Names">'[1]Named Ranges'!$A$2:XFD$38</definedName>
    <definedName name="Z_86793643_04DF_41C7_A2C3_AD1B07D459CC_.wvu.PrintArea" localSheetId="4" hidden="1">'Financial Analysis'!$A$2:$J$41</definedName>
    <definedName name="Z_86793643_04DF_41C7_A2C3_AD1B07D459CC_.wvu.PrintArea" localSheetId="3" hidden="1">'Financial Analysis in USD'!$A$2:$J$41</definedName>
    <definedName name="Z_86793643_04DF_41C7_A2C3_AD1B07D459CC_.wvu.Rows" localSheetId="4" hidden="1">'Financial Analysis'!$31:$31</definedName>
    <definedName name="Z_86793643_04DF_41C7_A2C3_AD1B07D459CC_.wvu.Rows" localSheetId="3" hidden="1">'Financial Analysis in USD'!$31:$31</definedName>
    <definedName name="Z_A75B43E1_BD35_47D7_AB9E_90AB07D62701_.wvu.PrintArea" localSheetId="4" hidden="1">'Financial Analysis'!$A$2:$J$41</definedName>
    <definedName name="Z_A75B43E1_BD35_47D7_AB9E_90AB07D62701_.wvu.PrintArea" localSheetId="3" hidden="1">'Financial Analysis in USD'!$A$2:$J$41</definedName>
    <definedName name="Z_A75B43E1_BD35_47D7_AB9E_90AB07D62701_.wvu.Rows" localSheetId="4" hidden="1">'Financial Analysis'!$31:$31</definedName>
    <definedName name="Z_A75B43E1_BD35_47D7_AB9E_90AB07D62701_.wvu.Rows" localSheetId="3" hidden="1">'Financial Analysis in USD'!$31:$31</definedName>
  </definedNames>
  <calcPr calcId="125725"/>
  <customWorkbookViews>
    <customWorkbookView name="Marc DeFrancis - Personal View" guid="{A75B43E1-BD35-47D7-AB9E-90AB07D62701}" mergeInterval="0" personalView="1" maximized="1" xWindow="1" yWindow="1" windowWidth="1310" windowHeight="602" tabRatio="851" activeSheetId="1" showComments="commIndAndComment"/>
    <customWorkbookView name="bmaddox - Personal View" guid="{86793643-04DF-41C7-A2C3-AD1B07D459CC}" mergeInterval="0" personalView="1" maximized="1" xWindow="1" yWindow="1" windowWidth="1024" windowHeight="576" tabRatio="851" activeSheetId="1"/>
  </customWorkbookViews>
</workbook>
</file>

<file path=xl/calcChain.xml><?xml version="1.0" encoding="utf-8"?>
<calcChain xmlns="http://schemas.openxmlformats.org/spreadsheetml/2006/main">
  <c r="A159" i="2"/>
  <c r="A6"/>
  <c r="A9"/>
  <c r="A10" s="1"/>
  <c r="A11" s="1"/>
  <c r="A12" s="1"/>
  <c r="A13" s="1"/>
  <c r="A14" s="1"/>
  <c r="A15" s="1"/>
  <c r="A16" s="1"/>
  <c r="A17" s="1"/>
  <c r="A21" s="1"/>
  <c r="A22" s="1"/>
  <c r="A23" s="1"/>
  <c r="A24" s="1"/>
  <c r="A25" s="1"/>
  <c r="A26" s="1"/>
  <c r="A27" s="1"/>
  <c r="A28" s="1"/>
  <c r="A30" s="1"/>
  <c r="A31" s="1"/>
  <c r="A34" s="1"/>
  <c r="A40"/>
  <c r="A41" s="1"/>
  <c r="A44" s="1"/>
  <c r="A45" s="1"/>
  <c r="A46" s="1"/>
  <c r="A47" s="1"/>
  <c r="A48" s="1"/>
  <c r="A52" s="1"/>
  <c r="A53" s="1"/>
  <c r="A54" s="1"/>
  <c r="A55" s="1"/>
  <c r="A56" s="1"/>
  <c r="A59" s="1"/>
  <c r="A60" s="1"/>
  <c r="A61" s="1"/>
  <c r="A62" s="1"/>
  <c r="A63" s="1"/>
  <c r="A66" s="1"/>
  <c r="A67" s="1"/>
  <c r="A68" s="1"/>
  <c r="A69" s="1"/>
  <c r="A76" s="1"/>
  <c r="A79" s="1"/>
  <c r="A82" s="1"/>
  <c r="A83" s="1"/>
  <c r="A84" s="1"/>
  <c r="A85" s="1"/>
  <c r="A86" s="1"/>
  <c r="A87" s="1"/>
  <c r="A94" s="1"/>
  <c r="A95" s="1"/>
  <c r="A96" s="1"/>
  <c r="A97" s="1"/>
  <c r="A100" s="1"/>
  <c r="A101" s="1"/>
  <c r="A102" s="1"/>
  <c r="A103" s="1"/>
  <c r="A106" s="1"/>
  <c r="A107" s="1"/>
  <c r="A108" s="1"/>
  <c r="A109" s="1"/>
  <c r="A112" s="1"/>
  <c r="A113" s="1"/>
  <c r="A114" s="1"/>
  <c r="A115" s="1"/>
  <c r="A116" s="1"/>
  <c r="A117" s="1"/>
  <c r="A121" s="1"/>
  <c r="A122" s="1"/>
  <c r="A123" s="1"/>
  <c r="A124" s="1"/>
  <c r="A125" s="1"/>
  <c r="A128" s="1"/>
  <c r="A129" s="1"/>
  <c r="A132" s="1"/>
  <c r="A133" s="1"/>
  <c r="A136" s="1"/>
  <c r="A137" s="1"/>
  <c r="A138" s="1"/>
  <c r="A139" s="1"/>
  <c r="A142" s="1"/>
  <c r="A143" s="1"/>
  <c r="A144" s="1"/>
  <c r="A145" s="1"/>
  <c r="A149" s="1"/>
  <c r="A154" s="1"/>
  <c r="A155" s="1"/>
  <c r="A156" s="1"/>
  <c r="A157" s="1"/>
  <c r="F13"/>
  <c r="G13"/>
  <c r="F9"/>
  <c r="G9"/>
  <c r="F10"/>
  <c r="F11" s="1"/>
  <c r="F145"/>
  <c r="G145"/>
  <c r="G44"/>
  <c r="G47"/>
  <c r="F16"/>
  <c r="G16"/>
  <c r="F66"/>
  <c r="G30"/>
  <c r="G31"/>
  <c r="F21"/>
  <c r="G21" s="1"/>
  <c r="F68"/>
  <c r="F59" s="1"/>
  <c r="G25"/>
  <c r="F61"/>
  <c r="G86"/>
  <c r="G87"/>
  <c r="G89" s="1"/>
  <c r="G91" s="1"/>
  <c r="F19" i="5" s="1"/>
  <c r="G88" i="2"/>
  <c r="G114"/>
  <c r="G119" s="1"/>
  <c r="F22" i="5" s="1"/>
  <c r="F22" i="4" s="1"/>
  <c r="G116" i="2"/>
  <c r="G117"/>
  <c r="F23" i="5"/>
  <c r="F23" i="4" s="1"/>
  <c r="G129" i="2"/>
  <c r="F24" i="5"/>
  <c r="F24" i="4" s="1"/>
  <c r="G139" i="2"/>
  <c r="F28" i="5"/>
  <c r="F28" i="4" s="1"/>
  <c r="F82" i="2"/>
  <c r="F84"/>
  <c r="F85"/>
  <c r="F89" s="1"/>
  <c r="F91" s="1"/>
  <c r="E19" i="5" s="1"/>
  <c r="E19" i="4" s="1"/>
  <c r="F100" i="2"/>
  <c r="F101"/>
  <c r="F102" s="1"/>
  <c r="E20" i="5" s="1"/>
  <c r="E20" i="4" s="1"/>
  <c r="F124" i="2"/>
  <c r="F125"/>
  <c r="F126"/>
  <c r="E21" i="5" s="1"/>
  <c r="E21" i="4" s="1"/>
  <c r="F113" i="2"/>
  <c r="F114"/>
  <c r="F116"/>
  <c r="F117"/>
  <c r="F119"/>
  <c r="E22" i="5" s="1"/>
  <c r="E22" i="4" s="1"/>
  <c r="F62" i="2"/>
  <c r="F132"/>
  <c r="E23" i="5" s="1"/>
  <c r="E23" i="4" s="1"/>
  <c r="F129" i="2"/>
  <c r="E24" i="5"/>
  <c r="E24" i="4" s="1"/>
  <c r="F139" i="2"/>
  <c r="F144"/>
  <c r="E26" i="5" s="1"/>
  <c r="E26" i="4" s="1"/>
  <c r="E28" i="5"/>
  <c r="E28" i="4" s="1"/>
  <c r="G28" i="5"/>
  <c r="G28" i="4" s="1"/>
  <c r="H28" i="5"/>
  <c r="H28" i="4" s="1"/>
  <c r="I28" i="5"/>
  <c r="I28" i="4" s="1"/>
  <c r="J28" i="5"/>
  <c r="J28" i="4" s="1"/>
  <c r="H25" i="2"/>
  <c r="I25"/>
  <c r="J25"/>
  <c r="K25"/>
  <c r="K47"/>
  <c r="J47"/>
  <c r="I47"/>
  <c r="H47"/>
  <c r="F45"/>
  <c r="F23"/>
  <c r="K44"/>
  <c r="J44"/>
  <c r="I44"/>
  <c r="H44"/>
  <c r="F44"/>
  <c r="K117"/>
  <c r="J117"/>
  <c r="I117"/>
  <c r="H117"/>
  <c r="K116"/>
  <c r="J116"/>
  <c r="I116"/>
  <c r="H116"/>
  <c r="H114"/>
  <c r="H119" s="1"/>
  <c r="G22" i="5" s="1"/>
  <c r="G22" i="4" s="1"/>
  <c r="I114" i="2"/>
  <c r="I119" s="1"/>
  <c r="H22" i="5" s="1"/>
  <c r="H22" i="4" s="1"/>
  <c r="J114" i="2"/>
  <c r="J119" s="1"/>
  <c r="I22" i="5" s="1"/>
  <c r="I22" i="4" s="1"/>
  <c r="K114" i="2"/>
  <c r="K119" s="1"/>
  <c r="J22" i="5" s="1"/>
  <c r="J22" i="4" s="1"/>
  <c r="K15" i="2"/>
  <c r="J15"/>
  <c r="I15"/>
  <c r="H15"/>
  <c r="G15"/>
  <c r="F15"/>
  <c r="H88"/>
  <c r="I88"/>
  <c r="J88"/>
  <c r="K88"/>
  <c r="H87"/>
  <c r="I87"/>
  <c r="J87"/>
  <c r="K87"/>
  <c r="H86"/>
  <c r="I86"/>
  <c r="I89"/>
  <c r="I91" s="1"/>
  <c r="H19" i="5" s="1"/>
  <c r="J86" i="2"/>
  <c r="J89"/>
  <c r="J91" s="1"/>
  <c r="I19" i="5" s="1"/>
  <c r="K86" i="2"/>
  <c r="K89"/>
  <c r="K91" s="1"/>
  <c r="J19" i="5" s="1"/>
  <c r="J19" i="4" s="1"/>
  <c r="H89" i="2"/>
  <c r="H91" s="1"/>
  <c r="G19" i="5" s="1"/>
  <c r="J23"/>
  <c r="J23" i="4" s="1"/>
  <c r="I23" i="5"/>
  <c r="I23" i="4" s="1"/>
  <c r="H23" i="5"/>
  <c r="H23" i="4" s="1"/>
  <c r="G23" i="5"/>
  <c r="G23" i="4" s="1"/>
  <c r="H139" i="2"/>
  <c r="K129"/>
  <c r="J24" i="5"/>
  <c r="J24" i="4" s="1"/>
  <c r="J129" i="2"/>
  <c r="I24" i="5" s="1"/>
  <c r="I24" i="4" s="1"/>
  <c r="I129" i="2"/>
  <c r="H24" i="5" s="1"/>
  <c r="H24" i="4" s="1"/>
  <c r="H129" i="2"/>
  <c r="G24" i="5"/>
  <c r="G24" i="4" s="1"/>
  <c r="K31" i="2"/>
  <c r="K30"/>
  <c r="J31"/>
  <c r="J30"/>
  <c r="I31"/>
  <c r="I30"/>
  <c r="H31"/>
  <c r="H30"/>
  <c r="K139"/>
  <c r="F63"/>
  <c r="J139"/>
  <c r="I139"/>
  <c r="F14"/>
  <c r="F41" s="1"/>
  <c r="F53"/>
  <c r="H9"/>
  <c r="I9"/>
  <c r="J9" s="1"/>
  <c r="H13"/>
  <c r="G14"/>
  <c r="G41" s="1"/>
  <c r="F11" i="5" s="1"/>
  <c r="F11" i="4" s="1"/>
  <c r="F14"/>
  <c r="E27" i="5"/>
  <c r="E27" i="4" s="1"/>
  <c r="I13" i="2"/>
  <c r="I14" s="1"/>
  <c r="I41" s="1"/>
  <c r="H11" i="5" s="1"/>
  <c r="H11" i="4" s="1"/>
  <c r="H14" i="2"/>
  <c r="H41"/>
  <c r="G11" i="5" s="1"/>
  <c r="G11" i="4" s="1"/>
  <c r="J13" i="2"/>
  <c r="J14" s="1"/>
  <c r="J41" s="1"/>
  <c r="I11" i="5" s="1"/>
  <c r="I11" i="4" s="1"/>
  <c r="K13" i="2"/>
  <c r="K14" s="1"/>
  <c r="K41" s="1"/>
  <c r="J11" i="5" s="1"/>
  <c r="J11" i="4" s="1"/>
  <c r="G45" i="2"/>
  <c r="H16"/>
  <c r="G48"/>
  <c r="F27" i="5"/>
  <c r="F27" i="4" s="1"/>
  <c r="H145" i="2"/>
  <c r="F19"/>
  <c r="F36" s="1"/>
  <c r="G50"/>
  <c r="F5" i="5" s="1"/>
  <c r="F5" i="4" s="1"/>
  <c r="G27" i="5"/>
  <c r="G27" i="4" s="1"/>
  <c r="I145" i="2"/>
  <c r="H48"/>
  <c r="I16"/>
  <c r="H45"/>
  <c r="H50" s="1"/>
  <c r="G5" i="5" s="1"/>
  <c r="G5" i="4" s="1"/>
  <c r="J16" i="2"/>
  <c r="I45"/>
  <c r="I48"/>
  <c r="H27" i="5"/>
  <c r="H27" i="4" s="1"/>
  <c r="J145" i="2"/>
  <c r="K145"/>
  <c r="J27" i="5" s="1"/>
  <c r="J27" i="4" s="1"/>
  <c r="I27" i="5"/>
  <c r="J48" i="2"/>
  <c r="K16"/>
  <c r="K45" s="1"/>
  <c r="J45"/>
  <c r="J50" s="1"/>
  <c r="I5" i="5" s="1"/>
  <c r="I5" i="4" s="1"/>
  <c r="K48" i="2"/>
  <c r="I27" i="4"/>
  <c r="K50" i="2" l="1"/>
  <c r="J5" i="5" s="1"/>
  <c r="J5" i="4" s="1"/>
  <c r="I50" i="2"/>
  <c r="H5" i="5" s="1"/>
  <c r="H5" i="4" s="1"/>
  <c r="G19"/>
  <c r="F19"/>
  <c r="H138" i="2"/>
  <c r="H140" s="1"/>
  <c r="G25" i="5" s="1"/>
  <c r="G25" i="4" s="1"/>
  <c r="I138" i="2"/>
  <c r="I140" s="1"/>
  <c r="H25" i="5" s="1"/>
  <c r="H25" i="4" s="1"/>
  <c r="J138" i="2"/>
  <c r="J140" s="1"/>
  <c r="I25" i="5" s="1"/>
  <c r="I25" i="4" s="1"/>
  <c r="K138" i="2"/>
  <c r="K140" s="1"/>
  <c r="J25" i="5" s="1"/>
  <c r="J25" i="4" s="1"/>
  <c r="G138" i="2"/>
  <c r="G140" s="1"/>
  <c r="F25" i="5" s="1"/>
  <c r="F25" i="4" s="1"/>
  <c r="F138" i="2"/>
  <c r="F140" s="1"/>
  <c r="E25" i="5" s="1"/>
  <c r="E25" i="4" s="1"/>
  <c r="A160" i="2"/>
  <c r="A161" s="1"/>
  <c r="A162" s="1"/>
  <c r="A163" s="1"/>
  <c r="A164" s="1"/>
  <c r="A165" s="1"/>
  <c r="A158"/>
  <c r="K9"/>
  <c r="I19" i="4"/>
  <c r="H19"/>
  <c r="G22" i="2"/>
  <c r="G23"/>
  <c r="G122"/>
  <c r="F13" i="5" s="1"/>
  <c r="F13" i="4" s="1"/>
  <c r="H21" i="2"/>
  <c r="G24"/>
  <c r="G54"/>
  <c r="G144"/>
  <c r="F26" i="5" s="1"/>
  <c r="F26" i="4" s="1"/>
  <c r="G53" i="2"/>
  <c r="G55" s="1"/>
  <c r="G79"/>
  <c r="F17"/>
  <c r="F18"/>
  <c r="F60"/>
  <c r="G10"/>
  <c r="F34"/>
  <c r="E29" i="4"/>
  <c r="E32" s="1"/>
  <c r="E29" i="5" l="1"/>
  <c r="E32" s="1"/>
  <c r="G125" i="2"/>
  <c r="G126" s="1"/>
  <c r="F21" i="5" s="1"/>
  <c r="F21" i="4" s="1"/>
  <c r="F10" i="5"/>
  <c r="F10" i="4" s="1"/>
  <c r="G101" i="2"/>
  <c r="G102" s="1"/>
  <c r="F20" i="5" s="1"/>
  <c r="F9"/>
  <c r="F9" i="4" s="1"/>
  <c r="H10" i="2"/>
  <c r="G11"/>
  <c r="H54"/>
  <c r="I21"/>
  <c r="H53"/>
  <c r="H55" s="1"/>
  <c r="H22"/>
  <c r="H24"/>
  <c r="G9" i="5" s="1"/>
  <c r="G9" i="4" s="1"/>
  <c r="H122" i="2"/>
  <c r="G13" i="5" s="1"/>
  <c r="G13" i="4" s="1"/>
  <c r="H144" i="2"/>
  <c r="G26" i="5" s="1"/>
  <c r="G26" i="4" s="1"/>
  <c r="H23" i="2"/>
  <c r="E34" i="4"/>
  <c r="E36" s="1"/>
  <c r="E34" i="5"/>
  <c r="E36" s="1"/>
  <c r="H101" i="2" l="1"/>
  <c r="H102" s="1"/>
  <c r="G20" i="5" s="1"/>
  <c r="G10"/>
  <c r="G10" i="4" s="1"/>
  <c r="H125" i="2"/>
  <c r="H126" s="1"/>
  <c r="G21" i="5" s="1"/>
  <c r="G21" i="4" s="1"/>
  <c r="I23" i="2"/>
  <c r="I22"/>
  <c r="J21"/>
  <c r="I144"/>
  <c r="H26" i="5" s="1"/>
  <c r="H26" i="4" s="1"/>
  <c r="I24" i="2"/>
  <c r="H9" i="5" s="1"/>
  <c r="H9" i="4" s="1"/>
  <c r="I53" i="2"/>
  <c r="I122"/>
  <c r="H13" i="5" s="1"/>
  <c r="H13" i="4" s="1"/>
  <c r="I54" i="2"/>
  <c r="G19"/>
  <c r="G56"/>
  <c r="F6" i="5" s="1"/>
  <c r="F6" i="4" s="1"/>
  <c r="G12" i="2"/>
  <c r="F4" i="5" s="1"/>
  <c r="H79" i="2"/>
  <c r="G17"/>
  <c r="G18"/>
  <c r="F14" i="5" s="1"/>
  <c r="G14" i="4" s="1"/>
  <c r="F20"/>
  <c r="F29" s="1"/>
  <c r="F29" i="5"/>
  <c r="I10" i="2"/>
  <c r="H11"/>
  <c r="J10" l="1"/>
  <c r="I11"/>
  <c r="I101"/>
  <c r="I102" s="1"/>
  <c r="H20" i="5" s="1"/>
  <c r="I125" i="2"/>
  <c r="I126" s="1"/>
  <c r="H21" i="5" s="1"/>
  <c r="H21" i="4" s="1"/>
  <c r="G20"/>
  <c r="G29" s="1"/>
  <c r="G29" i="5"/>
  <c r="I55" i="2"/>
  <c r="H10" i="5" s="1"/>
  <c r="H10" i="4" s="1"/>
  <c r="H18" i="2"/>
  <c r="H12"/>
  <c r="G4" i="5" s="1"/>
  <c r="H56" i="2"/>
  <c r="G6" i="5" s="1"/>
  <c r="G6" i="4" s="1"/>
  <c r="H19" i="2"/>
  <c r="H17"/>
  <c r="I79"/>
  <c r="F4" i="4"/>
  <c r="G36" i="2"/>
  <c r="G37" s="1"/>
  <c r="G34"/>
  <c r="J54"/>
  <c r="J23"/>
  <c r="J22"/>
  <c r="J144"/>
  <c r="I26" i="5" s="1"/>
  <c r="I26" i="4" s="1"/>
  <c r="J24" i="2"/>
  <c r="I9" i="5" s="1"/>
  <c r="I9" i="4" s="1"/>
  <c r="J122" i="2"/>
  <c r="I13" i="5" s="1"/>
  <c r="I13" i="4" s="1"/>
  <c r="K21" i="2"/>
  <c r="J53"/>
  <c r="H20" i="4" l="1"/>
  <c r="H29" s="1"/>
  <c r="H29" i="5"/>
  <c r="J11" i="2"/>
  <c r="K10"/>
  <c r="K11" s="1"/>
  <c r="G14" i="5"/>
  <c r="K53" i="2"/>
  <c r="K24"/>
  <c r="J9" i="5" s="1"/>
  <c r="J9" i="4" s="1"/>
  <c r="K22" i="2"/>
  <c r="K23"/>
  <c r="K122"/>
  <c r="J13" i="5" s="1"/>
  <c r="J13" i="4" s="1"/>
  <c r="K54" i="2"/>
  <c r="K144"/>
  <c r="J26" i="5" s="1"/>
  <c r="J26" i="4" s="1"/>
  <c r="J101" i="2"/>
  <c r="J102" s="1"/>
  <c r="I20" i="5" s="1"/>
  <c r="J125" i="2"/>
  <c r="J126" s="1"/>
  <c r="I21" i="5" s="1"/>
  <c r="I21" i="4" s="1"/>
  <c r="G35" i="2"/>
  <c r="F12" i="5"/>
  <c r="H36" i="2"/>
  <c r="H37" s="1"/>
  <c r="H34"/>
  <c r="G4" i="4"/>
  <c r="I19" i="2"/>
  <c r="I12"/>
  <c r="H4" i="5" s="1"/>
  <c r="I56" i="2"/>
  <c r="H6" i="5" s="1"/>
  <c r="H6" i="4" s="1"/>
  <c r="I17" i="2"/>
  <c r="J79"/>
  <c r="I18"/>
  <c r="H14" i="5" s="1"/>
  <c r="H14" i="4" s="1"/>
  <c r="J55" i="2"/>
  <c r="I10" i="5" s="1"/>
  <c r="I10" i="4" s="1"/>
  <c r="H35" i="2" l="1"/>
  <c r="G12" i="5" s="1"/>
  <c r="F12" i="4"/>
  <c r="F16" s="1"/>
  <c r="F32" s="1"/>
  <c r="F16" i="5"/>
  <c r="F32" s="1"/>
  <c r="I20" i="4"/>
  <c r="I29" s="1"/>
  <c r="I29" i="5"/>
  <c r="J12" i="2"/>
  <c r="I4" i="5" s="1"/>
  <c r="J18" i="2"/>
  <c r="J56"/>
  <c r="I6" i="5" s="1"/>
  <c r="I6" i="4" s="1"/>
  <c r="J17" i="2"/>
  <c r="K79"/>
  <c r="J19"/>
  <c r="H4" i="4"/>
  <c r="I36" i="2"/>
  <c r="I37" s="1"/>
  <c r="I34"/>
  <c r="K101"/>
  <c r="K102" s="1"/>
  <c r="J20" i="5" s="1"/>
  <c r="K125" i="2"/>
  <c r="K126" s="1"/>
  <c r="J21" i="5" s="1"/>
  <c r="J21" i="4" s="1"/>
  <c r="K12" i="2"/>
  <c r="J4" i="5" s="1"/>
  <c r="K18" i="2"/>
  <c r="K56"/>
  <c r="J6" i="5" s="1"/>
  <c r="J6" i="4" s="1"/>
  <c r="K19" i="2"/>
  <c r="K17"/>
  <c r="K55"/>
  <c r="J10" i="5" s="1"/>
  <c r="J10" i="4" s="1"/>
  <c r="G12" l="1"/>
  <c r="G16" s="1"/>
  <c r="G32" s="1"/>
  <c r="G34" s="1"/>
  <c r="G38" s="1"/>
  <c r="G16" i="5"/>
  <c r="G32" s="1"/>
  <c r="G34" s="1"/>
  <c r="G38" s="1"/>
  <c r="J4" i="4"/>
  <c r="J20"/>
  <c r="J29" s="1"/>
  <c r="J29" i="5"/>
  <c r="I35" i="2"/>
  <c r="H12" i="5"/>
  <c r="I4" i="4"/>
  <c r="F34"/>
  <c r="E40"/>
  <c r="K36" i="2"/>
  <c r="K37" s="1"/>
  <c r="K34"/>
  <c r="J36"/>
  <c r="J37" s="1"/>
  <c r="J34"/>
  <c r="F34" i="5"/>
  <c r="J14"/>
  <c r="J14" i="4" s="1"/>
  <c r="I14" i="5"/>
  <c r="I14" i="4" s="1"/>
  <c r="J35" i="2" l="1"/>
  <c r="I12" i="5" s="1"/>
  <c r="K35" i="2"/>
  <c r="J12" i="5" s="1"/>
  <c r="H12" i="4"/>
  <c r="H16" s="1"/>
  <c r="H32" s="1"/>
  <c r="H34" s="1"/>
  <c r="H38" s="1"/>
  <c r="H16" i="5"/>
  <c r="H32" s="1"/>
  <c r="F38"/>
  <c r="F36"/>
  <c r="G36" s="1"/>
  <c r="F36" i="4"/>
  <c r="G36" s="1"/>
  <c r="F38"/>
  <c r="H36" l="1"/>
  <c r="I12"/>
  <c r="I16" s="1"/>
  <c r="I32" s="1"/>
  <c r="I34" s="1"/>
  <c r="I38" s="1"/>
  <c r="I16" i="5"/>
  <c r="I32" s="1"/>
  <c r="I34" s="1"/>
  <c r="I38" s="1"/>
  <c r="J12" i="4"/>
  <c r="J16" s="1"/>
  <c r="J32" s="1"/>
  <c r="J34" s="1"/>
  <c r="J38" s="1"/>
  <c r="J16" i="5"/>
  <c r="J32" s="1"/>
  <c r="J34" s="1"/>
  <c r="J38" s="1"/>
  <c r="H34"/>
  <c r="H38" s="1"/>
  <c r="E40"/>
  <c r="H36"/>
  <c r="I36" l="1"/>
  <c r="J36" s="1"/>
  <c r="I36" i="4"/>
  <c r="J36" s="1"/>
</calcChain>
</file>

<file path=xl/comments1.xml><?xml version="1.0" encoding="utf-8"?>
<comments xmlns="http://schemas.openxmlformats.org/spreadsheetml/2006/main">
  <authors>
    <author>Marc DeFrancis</author>
  </authors>
  <commentList>
    <comment ref="B155" authorId="0">
      <text>
        <r>
          <rPr>
            <b/>
            <sz val="10"/>
            <color indexed="81"/>
            <rFont val="Tahoma"/>
            <family val="2"/>
          </rPr>
          <t>Marc DeFrancis:</t>
        </r>
        <r>
          <rPr>
            <sz val="10"/>
            <color indexed="81"/>
            <rFont val="Tahoma"/>
            <family val="2"/>
          </rPr>
          <t xml:space="preserve">
Here and below, when you ask for increase or decrease, do you also need to specify whether this is listed in the cell as a negative or positive? Should the decrease of 25% be input as "-25.00%"?</t>
        </r>
        <r>
          <rPr>
            <sz val="10"/>
            <color indexed="81"/>
            <rFont val="Tahoma"/>
            <family val="2"/>
          </rPr>
          <t xml:space="preserve">
</t>
        </r>
      </text>
    </comment>
  </commentList>
</comments>
</file>

<file path=xl/comments2.xml><?xml version="1.0" encoding="utf-8"?>
<comments xmlns="http://schemas.openxmlformats.org/spreadsheetml/2006/main">
  <authors>
    <author>Marc DeFrancis</author>
  </authors>
  <commentList>
    <comment ref="B5" authorId="0">
      <text>
        <r>
          <rPr>
            <b/>
            <sz val="10"/>
            <color indexed="81"/>
            <rFont val="Tahoma"/>
            <family val="2"/>
          </rPr>
          <t>Marc DeFrancis:</t>
        </r>
        <r>
          <rPr>
            <sz val="10"/>
            <color indexed="81"/>
            <rFont val="Tahoma"/>
            <family val="2"/>
          </rPr>
          <t xml:space="preserve">
rolled out, staff</t>
        </r>
      </text>
    </comment>
    <comment ref="B12" authorId="0">
      <text>
        <r>
          <rPr>
            <b/>
            <sz val="10"/>
            <color indexed="81"/>
            <rFont val="Tahoma"/>
            <family val="2"/>
          </rPr>
          <t>Marc DeFrancis:</t>
        </r>
        <r>
          <rPr>
            <sz val="10"/>
            <color indexed="81"/>
            <rFont val="Tahoma"/>
            <family val="2"/>
          </rPr>
          <t xml:space="preserve">
Check the right-most cell here -- the hyphens before and after "processing a new…system" read as minus signs, since that is what they signify above--- But is that correct? 
</t>
        </r>
      </text>
    </comment>
  </commentList>
</comments>
</file>

<file path=xl/sharedStrings.xml><?xml version="1.0" encoding="utf-8"?>
<sst xmlns="http://schemas.openxmlformats.org/spreadsheetml/2006/main" count="434" uniqueCount="298">
  <si>
    <t>Project Expenses</t>
  </si>
  <si>
    <t>Net Cash Flows</t>
  </si>
  <si>
    <t>Upfront</t>
  </si>
  <si>
    <t>Year 1</t>
  </si>
  <si>
    <t>Year 2</t>
  </si>
  <si>
    <t>Year 3</t>
  </si>
  <si>
    <t>Year 4</t>
  </si>
  <si>
    <t>Year 5</t>
  </si>
  <si>
    <t>Hardware</t>
  </si>
  <si>
    <t>Software</t>
  </si>
  <si>
    <t>Project Revenues / Savings</t>
  </si>
  <si>
    <t>Branches</t>
  </si>
  <si>
    <t>Decreased Time for Manual Reporting</t>
  </si>
  <si>
    <t>Better Internal Controls --&gt; Less Fraud</t>
  </si>
  <si>
    <t>Connectivity Costs</t>
  </si>
  <si>
    <t>Better Cash Management</t>
  </si>
  <si>
    <t>Training</t>
  </si>
  <si>
    <t>NPV of Cash Flows</t>
  </si>
  <si>
    <t>Payback period</t>
  </si>
  <si>
    <t>NPV after 5 years</t>
  </si>
  <si>
    <t>Staff Time for maintenance</t>
  </si>
  <si>
    <t>Year 0</t>
  </si>
  <si>
    <t>Staff Time for encoding (Encoder)</t>
  </si>
  <si>
    <t>TOTAL</t>
  </si>
  <si>
    <t>Customizations/Enhancements</t>
  </si>
  <si>
    <t>Yearly ROI</t>
  </si>
  <si>
    <t>Loan Officer Projections</t>
  </si>
  <si>
    <t>Year</t>
  </si>
  <si>
    <t>Loan Size Projections</t>
  </si>
  <si>
    <t># of loans per client</t>
  </si>
  <si>
    <t>What is your projected annual LO growth rate?</t>
  </si>
  <si>
    <t>Caseload Projections - before MIS</t>
  </si>
  <si>
    <t>Caseload Projections - after MIS</t>
  </si>
  <si>
    <t>On average, how many loans does a client have?</t>
  </si>
  <si>
    <t>General Questions</t>
  </si>
  <si>
    <t>What is your current average loan yield?</t>
  </si>
  <si>
    <t>Difference in caseload</t>
  </si>
  <si>
    <t>Staff Information</t>
  </si>
  <si>
    <t>How many branches do you currently have?</t>
  </si>
  <si>
    <t>What is the projected annual increase in branches?</t>
  </si>
  <si>
    <t>Branch Managers</t>
  </si>
  <si>
    <t>daily rate</t>
  </si>
  <si>
    <t>HO accounting staff</t>
  </si>
  <si>
    <t># of working days per year</t>
  </si>
  <si>
    <t>Decrease in HO reporting time</t>
  </si>
  <si>
    <t>Decrease in branch reporting time</t>
  </si>
  <si>
    <t>Cost Savings in Branch Maintenance</t>
  </si>
  <si>
    <t>How many new products do you launch per year?</t>
  </si>
  <si>
    <t># of new branches per year</t>
  </si>
  <si>
    <t>IT staff</t>
  </si>
  <si>
    <t>On average, how many "ghost" loans might be disbursed per year?</t>
  </si>
  <si>
    <t>Avg repayment amount</t>
  </si>
  <si>
    <t>Fraud loss per year</t>
  </si>
  <si>
    <t>Loss associated with cash management spread</t>
  </si>
  <si>
    <t>What is the projected annual increase in assets?</t>
  </si>
  <si>
    <t>Increased Revenue</t>
  </si>
  <si>
    <t xml:space="preserve">Cost Savings </t>
  </si>
  <si>
    <t>New products (faster TTM - incremental income)</t>
  </si>
  <si>
    <t>Daily loan yield</t>
  </si>
  <si>
    <t>Decrease in client onboarding time</t>
  </si>
  <si>
    <t>Decrease in loan disbursement time</t>
  </si>
  <si>
    <t>Better Arrears Management --&gt; Less PAR</t>
  </si>
  <si>
    <t>Current year</t>
  </si>
  <si>
    <t>1 yr after new MIS is in place</t>
  </si>
  <si>
    <t>Increase in Interest Income due to LO Efficiency</t>
  </si>
  <si>
    <t>Expenses - Hardware</t>
  </si>
  <si>
    <t>What is the average cost of a new server?</t>
  </si>
  <si>
    <t>What is the average cost of a new PC?</t>
  </si>
  <si>
    <t>What is the average cost of a new printer?</t>
  </si>
  <si>
    <t>What is the average cost of a UPS?</t>
  </si>
  <si>
    <t>At the head office…</t>
  </si>
  <si>
    <t>How many new  printers will you need to buy, if any?</t>
  </si>
  <si>
    <t>How many new UPS will you need to buy, if any?</t>
  </si>
  <si>
    <t>At each branch…</t>
  </si>
  <si>
    <t>Expenses - Connectivity</t>
  </si>
  <si>
    <t>Expenses - Software</t>
  </si>
  <si>
    <t>For each new computer purchased, what is the cost of the antivirus license?</t>
  </si>
  <si>
    <t>How much will feature development cost per year?</t>
  </si>
  <si>
    <t>Expenses - Training</t>
  </si>
  <si>
    <t>Hardware Expense - HO</t>
  </si>
  <si>
    <t>Hardware Expense - Branches</t>
  </si>
  <si>
    <t>Do you need to install a LAN?</t>
  </si>
  <si>
    <t>no</t>
  </si>
  <si>
    <t>Non MIS License fees - HO</t>
  </si>
  <si>
    <t>Non MIS License fees - branches</t>
  </si>
  <si>
    <t>MIS License Fees (savings!)</t>
  </si>
  <si>
    <t>Reduction in MIS License Costs</t>
  </si>
  <si>
    <t>Customization Costs</t>
  </si>
  <si>
    <t xml:space="preserve">Data Migration </t>
  </si>
  <si>
    <t>Data Encoder Costs</t>
  </si>
  <si>
    <t>IT Maintenance Staff</t>
  </si>
  <si>
    <t>How many IT staff will you add per year?</t>
  </si>
  <si>
    <t>Hardware Total</t>
  </si>
  <si>
    <t>Software Costs - Total</t>
  </si>
  <si>
    <t>Data Migration</t>
  </si>
  <si>
    <t>How much does the support contract cost per year?</t>
  </si>
  <si>
    <t>For each new computer purchased, what is the cost of the OS license?</t>
  </si>
  <si>
    <t>Hosting</t>
  </si>
  <si>
    <t>What is the cost of hosting/client per year?</t>
  </si>
  <si>
    <t>If using Mifos Cloud…</t>
  </si>
  <si>
    <t>Cloud Fees</t>
  </si>
  <si>
    <t>Cost of Hosting In-House</t>
  </si>
  <si>
    <t>Data Encoder</t>
  </si>
  <si>
    <t>Systems Administrator</t>
  </si>
  <si>
    <t>In-House</t>
  </si>
  <si>
    <t>Servers</t>
  </si>
  <si>
    <t>Backup Power</t>
  </si>
  <si>
    <t>Calculated against previous year's target number</t>
  </si>
  <si>
    <t>Support Contract</t>
  </si>
  <si>
    <t>What is the total cost of the new backup power (generator), if any?</t>
  </si>
  <si>
    <t>Server Room</t>
  </si>
  <si>
    <t>Maintenance Cost (System Admin)</t>
  </si>
  <si>
    <t>Electricity Bill</t>
  </si>
  <si>
    <t>* Only buy for new branches</t>
  </si>
  <si>
    <t>One time expense</t>
  </si>
  <si>
    <t>Only on new PCS, for new branches</t>
  </si>
  <si>
    <t>Training - Personnel Time</t>
  </si>
  <si>
    <t>Training - Logistics</t>
  </si>
  <si>
    <t>Total Training Cost</t>
  </si>
  <si>
    <t>How many days will it take to migrate legacy data into Mifos?</t>
  </si>
  <si>
    <t>How many encoders will it take to migrate legacy data into Mifos?</t>
  </si>
  <si>
    <t>Expenses - Data Migration</t>
  </si>
  <si>
    <t>Cost of short term debt (hold too little)
Before MIS</t>
  </si>
  <si>
    <t>Foregone revenue (hold too much)
Before MIS</t>
  </si>
  <si>
    <t>Cost of short term debt (hold too little)
After MIS</t>
  </si>
  <si>
    <t>Foregone revenue (hold too much)
After MIS</t>
  </si>
  <si>
    <t>Better Cash Management Cost Savings</t>
  </si>
  <si>
    <t>Faster time to market for products (faster MIS configuration - no visit to branches)</t>
  </si>
  <si>
    <t>Data Hosting Cost</t>
  </si>
  <si>
    <t>Do you need to install or upgrade your internet connectivity at branches?</t>
  </si>
  <si>
    <t>USD</t>
  </si>
  <si>
    <t>What is your reporting currency?</t>
  </si>
  <si>
    <t>What is your estimated increase in LO caseload (number of loans per officer) due to the MIS?</t>
  </si>
  <si>
    <t>ISP at HO set up</t>
  </si>
  <si>
    <t>ISP and HO annual fee</t>
  </si>
  <si>
    <t>ISP at branches set up</t>
  </si>
  <si>
    <t>ISP at branches annual fee</t>
  </si>
  <si>
    <t>What is the cost of the required internet service/year at branches?</t>
  </si>
  <si>
    <t>Connectivity total</t>
  </si>
  <si>
    <t>What is the projected annual increase in average loan value?</t>
  </si>
  <si>
    <t>IT person-days to visit all branches</t>
  </si>
  <si>
    <t>On average, how many repayments per year might be lost or stolen by a LO?</t>
  </si>
  <si>
    <t>Too much</t>
  </si>
  <si>
    <t>Total person-days to configure new products before Mifos</t>
  </si>
  <si>
    <t>Total person-days to configure new products after Mifos</t>
  </si>
  <si>
    <t>Incremental interest due to faster time to market</t>
  </si>
  <si>
    <t>What is your annual salary per branch manager?</t>
  </si>
  <si>
    <t>What is your annual salary per IT (MIS maintenance) staff member?</t>
  </si>
  <si>
    <t>What is your annual salary per data encoder?</t>
  </si>
  <si>
    <t>How many person-days does it take to close/prepare monthly reports at each branch each month?  (number of persons per branch x number of days per branch)</t>
  </si>
  <si>
    <t>What is the incremental electricity cost of the server room per year?</t>
  </si>
  <si>
    <t>How many encoders will be hired per branch (for ongoing data entry, not for one-time data migration)?</t>
  </si>
  <si>
    <t>Calculated based on MFI interview questions - will calculate automatically based on Interview</t>
  </si>
  <si>
    <t>What is the current average value of one loan?</t>
  </si>
  <si>
    <t>What is your current average caseload  (number of loans) per LO?</t>
  </si>
  <si>
    <t>What is your projected annual increase in caseload?</t>
  </si>
  <si>
    <t>On average, how many person-days does it take your IT staff to install the current MIS at a new branch (number of IT staff per installation x number of days)?</t>
  </si>
  <si>
    <t>On average, how many days does it take to approve and then process a new loan from application to disbursement?</t>
  </si>
  <si>
    <t>What % of total clients would you expect to take part in any new loan product during the first year the new product is introduced?</t>
  </si>
  <si>
    <t>Miscellaneous Information</t>
  </si>
  <si>
    <r>
      <t xml:space="preserve">Expenses - General
</t>
    </r>
    <r>
      <rPr>
        <b/>
        <i/>
        <sz val="11"/>
        <color indexed="9"/>
        <rFont val="Calibri"/>
        <family val="2"/>
      </rPr>
      <t>These questions should be answered based on your plans related to the new MIS installation</t>
    </r>
  </si>
  <si>
    <t>Calculation</t>
  </si>
  <si>
    <t>On average how many days does it take to process a new client from first contact to active in the system?</t>
  </si>
  <si>
    <t>Annual hosting costs (if SaaS) or Annual costs of support contract and SysAdmin support</t>
  </si>
  <si>
    <t>Hardware for HO + Hardware per branch * # of branches</t>
  </si>
  <si>
    <t>Installation cost for ISP at HO + Annual ISP charges at HO +
Installation cost for ISP at branches * # of branches + Annual ISP charges by branch * # of branches</t>
  </si>
  <si>
    <t>IT staff added per year * IT staff daily rate</t>
  </si>
  <si>
    <t>Other costs</t>
  </si>
  <si>
    <t>Total assets</t>
  </si>
  <si>
    <t>Description</t>
  </si>
  <si>
    <t>On average, how many times per year does IT visit each branch for MIS maintenance such as upgrades or fixing bugs (i.e., how many all-network visits does IT do per year for maintenance)?</t>
  </si>
  <si>
    <t>Costs include all new computers, printers, UPS and LANs.</t>
  </si>
  <si>
    <t>These costs include the one-time costs associated with converting legacy data from the old system (or paper files) into the Mifos system.  Typically this includes data encoder staff time.</t>
  </si>
  <si>
    <t>Any customization costs</t>
  </si>
  <si>
    <t>MFIs may request customizations to the software before deployment, and should then budget for annual customizations or enhancements as necessary.</t>
  </si>
  <si>
    <t>NOTE:</t>
  </si>
  <si>
    <t>Overview</t>
  </si>
  <si>
    <t xml:space="preserve">Cost Savings  </t>
  </si>
  <si>
    <t>Staff cost savings for new product config</t>
  </si>
  <si>
    <t>Net write-offs before MIS (writeoffs-recoveries)</t>
  </si>
  <si>
    <t>Net write-offs after MIS (writeoffs-recoveries)</t>
  </si>
  <si>
    <t>What is your total annual loan loss provision?</t>
  </si>
  <si>
    <t>Loan Loss Provision before MIS</t>
  </si>
  <si>
    <t>Loan Loss Provision after MIS</t>
  </si>
  <si>
    <r>
      <t>(Decrease in days required for client onboarding - processing a new client in the system - * # of new clients per year ) +
Decrease in the days required to approve and process a loan from application to disbursement * # of loans disbursed per year) *
Branch Manager daily rate</t>
    </r>
    <r>
      <rPr>
        <sz val="11"/>
        <color indexed="8"/>
        <rFont val="Calibri"/>
        <family val="2"/>
      </rPr>
      <t xml:space="preserve">
</t>
    </r>
  </si>
  <si>
    <t>Loans disbursed per year after MIS</t>
  </si>
  <si>
    <t>Clients added per year after MIS</t>
  </si>
  <si>
    <t>Loan Portfolio</t>
  </si>
  <si>
    <t>Baseline date:</t>
  </si>
  <si>
    <t xml:space="preserve">This model is intended for forecasting alternate scenarios.  We recommend changing your estimated impacts in survey questions 89-100 and see how they impact the overall NPV of the project.  </t>
  </si>
  <si>
    <t>MFI Intervew - Enter data into the yellow boxes</t>
  </si>
  <si>
    <t>Data Management Costs</t>
  </si>
  <si>
    <t>If managing data in-house (an "on-premise" installation)…</t>
  </si>
  <si>
    <t xml:space="preserve">On average, do you hold too much cash relative to short-term asset targets?  Or do you hold too little cash? </t>
  </si>
  <si>
    <t>What is the average cost of your short-term debt?</t>
  </si>
  <si>
    <t>What is your average yield on short-term investments?</t>
  </si>
  <si>
    <t>If you gain access to new cash, what percentage of the excess cash could be mobilized into additional new loans? (Suggested estimate:  Portfolio-to-asset ratio, which is % of total assets occupied by the GLP.)</t>
  </si>
  <si>
    <t>What is the annual salary of a systems administrator 
(with DB and network administration skills)?</t>
  </si>
  <si>
    <t>How many new  servers will you need to buy?  (Usually: 1 test server/ 1 application server, 1 database server, 1 backup server for production)</t>
  </si>
  <si>
    <t>How many new PCs will you need to buy, if any?  (Consider the need for accounting, management, and IT staff)</t>
  </si>
  <si>
    <t>How many new PCs will you need to buy, if any?  (Consider the need for branch managers or data entry staff)</t>
  </si>
  <si>
    <t>What is the current per-seat license fee for your MIS?</t>
  </si>
  <si>
    <t>What is the average logistic cost/staff for training per day? (Include accommodation, travel, meals, stationery; use current average cost)</t>
  </si>
  <si>
    <t>What is the estimated decrease in the number of person-days for your IT staff to configure your new products on Mifos at branch level? (number of IT staff deployed per branch x number of days per branch)</t>
  </si>
  <si>
    <t>Reducing time spent on bookkeeping and other activities increases the efficiency of loan officers (LOs) as measured by caseload.  Increasing caseload generates incremental interest income.
To evaluate returns from more efficient loan officers, we look at the incremental increase in loan officer caseload (i.e. the average number of borrowers each loan officer supports) attributed to the efficiency provided by Mifos, the overall number of loan officers in a given year, the average loan size, and the average yield.</t>
  </si>
  <si>
    <t>Like any financial institution, an MFI must routinely consolidate information and close its books to obtain a picture of the current state of the business. Because MFIs largely operate through branch networks, results from each branch must be calculated and then results from all branches are consolidated at the home office. This potentially involves significant time each month for branch employees, time that could be spent recruiting new customers or working with existing ones. To assess the impact of Mifos, we evaluate the average number of person-days required to prepare monthly reports at the branches and to consolidate them at the home office. We then compare the total person-days spent annually on this task across the institution before and after Mifos. We expect to see a reduction, as Mifos automates and simplifies reporting and eliminates manual consolidation of data.  Any reduction is reflected in our financial analysis as labor cost saved.</t>
  </si>
  <si>
    <r>
      <t xml:space="preserve">Increase in Interest Income </t>
    </r>
    <r>
      <rPr>
        <sz val="11"/>
        <color rgb="FFFF0000"/>
        <rFont val="Calibri"/>
        <family val="2"/>
        <scheme val="minor"/>
      </rPr>
      <t>Due</t>
    </r>
    <r>
      <rPr>
        <sz val="11"/>
        <color theme="1"/>
        <rFont val="Calibri"/>
        <family val="2"/>
        <scheme val="minor"/>
      </rPr>
      <t xml:space="preserve"> to LO Efficiency</t>
    </r>
  </si>
  <si>
    <r>
      <t>New</t>
    </r>
    <r>
      <rPr>
        <b/>
        <sz val="11"/>
        <color rgb="FFFF0000"/>
        <rFont val="Calibri"/>
        <family val="2"/>
        <scheme val="minor"/>
      </rPr>
      <t xml:space="preserve"> P</t>
    </r>
    <r>
      <rPr>
        <sz val="11"/>
        <color theme="1"/>
        <rFont val="Calibri"/>
        <family val="2"/>
        <scheme val="minor"/>
      </rPr>
      <t>roducts (faster TTM - incremental income)</t>
    </r>
  </si>
  <si>
    <t>Other Upfront Cost</t>
  </si>
  <si>
    <t>Total number of LOs by year (based on projections, not impacted by MIS) *
Incremental caseload attributed to MIS efficiency (difference in caseload projections before and after MIS) * 
Average loan size *
Average loan yield</t>
  </si>
  <si>
    <r>
      <t xml:space="preserve">The decrease in the Total Time to Market (TTM) created by the MIS (based on # of calendar days required to configure the system with a new product and conduct training, etc.; this should be a several day reduction, meaning that any new product can hit the market several days faster with the new MIS) *
Total number of LOs by year (based on projections, not impacted by MIS) *
Average caseload assumed after the MIS is deployed *
Average loan size *
% of total clients base that is expected to take part in a new loan offering during its first year *
Daily loan yield *
</t>
    </r>
    <r>
      <rPr>
        <sz val="11"/>
        <color indexed="8"/>
        <rFont val="Calibri"/>
        <family val="2"/>
      </rPr>
      <t># of new products introduced per year</t>
    </r>
  </si>
  <si>
    <t xml:space="preserve">
Branch setup savings (average person-days to install the current MIS at a new branch  * # of new branches per year * IT staff daily rate) + 
# of times IT staff visit a branch each year for maintenance * person-days to visit a branch * IT staff daily rate +
# of new products launched per year * 
reduction in days required to configure new products with the new MIS * 
IT staff daily rate
</t>
  </si>
  <si>
    <r>
      <rPr>
        <sz val="11"/>
        <rFont val="Calibri"/>
        <family val="2"/>
      </rPr>
      <t>Net write-offs before the MIS - net write-offs after MIS (adjusted by annual growth in Loan Portfolio) +
(Loan loss provision before MIS - Loan loss provision after MIS) (also adjusted by annual growth in LPF) *
% of excess cash that could be reasonably mobilized into new loans *
annual average yield</t>
    </r>
    <r>
      <rPr>
        <i/>
        <sz val="11"/>
        <rFont val="Calibri"/>
        <family val="2"/>
      </rPr>
      <t xml:space="preserve">
</t>
    </r>
  </si>
  <si>
    <t>Per-seat license cost for current MIS * # of licenses at HO +
Per-seat license fee for current MIS * # of branches</t>
  </si>
  <si>
    <t>Faster Loan Disbursement</t>
  </si>
  <si>
    <t>Non-MIS license fees for HO + Non-MIS license fees per branch * # of branches</t>
  </si>
  <si>
    <t>Days of data migration * # of data encoders * Data encoder daily rate</t>
  </si>
  <si>
    <t># of staff trained per year * Staff daily rates + Logistical costs for training sessions</t>
  </si>
  <si>
    <t>Ongoing data encoding staff per branch * # of branches * Data encoder annual rate</t>
  </si>
  <si>
    <t>Cost of short-term debt (when an MFI holds too little cash) before and after MIS + 
Cost of foregone revenue (when an MFI holds too much cash) before and after MIS = 
Short-Term Debt Calcs:  Spread between short-term asset target and actual * Total assets * 
Average cost of short-term debt
Foregone Revenue Calcs:  Spread between short-term asset target and actual * Total assets *
Difference between average annual loan yield and average yield on short-term investments *
% of excess cash that could be reasonably mobilized into new loans</t>
  </si>
  <si>
    <t>Decrease in branch reporting time (# of days required to create reports at each branch each month*# of branches) * 12 * Branch manager daily rate +
Decrease in HO reporting time (# of days required to create monthly reports at HO * months + # of days required to do year end reporting) * HO accounting staff daily rate</t>
  </si>
  <si>
    <t xml:space="preserve">% reduction of # of ghost loans disbursed per year * Average value of a loan + 
% reduction of lost or stolen loan payments * Average repayment amount (assuming weekly repayments)
</t>
  </si>
  <si>
    <r>
      <t xml:space="preserve">Instructions  </t>
    </r>
    <r>
      <rPr>
        <b/>
        <sz val="18"/>
        <color theme="0"/>
        <rFont val="Calibri"/>
        <family val="2"/>
        <scheme val="minor"/>
      </rPr>
      <t>(</t>
    </r>
    <r>
      <rPr>
        <b/>
        <i/>
        <sz val="18"/>
        <color theme="0"/>
        <rFont val="Calibri"/>
        <family val="2"/>
        <scheme val="minor"/>
      </rPr>
      <t>Please Read First</t>
    </r>
    <r>
      <rPr>
        <b/>
        <sz val="18"/>
        <color theme="0"/>
        <rFont val="Calibri"/>
        <family val="2"/>
        <scheme val="minor"/>
      </rPr>
      <t>)</t>
    </r>
  </si>
  <si>
    <t xml:space="preserve">The purpose of this tool is to forecast the value of your potential IT investments.  Specifically, the tool is meant to calculate the financial value that an investment in Mifos would generate for your MFI over the next 5 years, assuming the MFI purchased and installed Mifos this year.  Although the tool yields a forecast, actual experience and financial returns will, of course, vary by insitution. 
While this tool is designed and configured to assess the benefits of Mifos specifically, MFIs and others could apply this forecasting model to other MIS or technology assessments once they appropriately alter the calculations within the tool. </t>
  </si>
  <si>
    <t>Before you begin, please read through the accompanying guide, "Return on Investment: A Framework for Analysis."</t>
  </si>
  <si>
    <t>This survey should be completed prior to deploying Mifos.  Begin responding at the tab labelled "Generic ROI Setup" but do not update the auto calculations in Columns E-K.  These cells will be updated automatically and are used to generate the financial analysis based on your inputs in Column C.</t>
  </si>
  <si>
    <t>Once you have completed the baseline survey and the forecast survey, the tool will generate a 5 year NPV  projection based on your inputs.  You can view the analysis projections under these three tabs:</t>
  </si>
  <si>
    <r>
      <rPr>
        <b/>
        <sz val="11"/>
        <rFont val="Calibri"/>
        <family val="2"/>
      </rPr>
      <t>Survey questions 1-88 will create your baseline of operations as a point of comparison for the future impact that Mifos will have.</t>
    </r>
    <r>
      <rPr>
        <sz val="11"/>
        <rFont val="Calibri"/>
        <family val="2"/>
      </rPr>
      <t xml:space="preserve">
Begin by completing survey questions 1-35.  Please note that questions 3-36 must be answered before Mifos is installed. In answering them you should use business planning forecasts that do NOT anticipate any change in system.  
Please answer questions 36-44 (Staff Information and Miscellaneous Information) by entering answers based on your current operations at the time of survey completion.
Please answer questions 45-88 (Expenses) based on your current plans to implement Mifos.  
</t>
    </r>
  </si>
  <si>
    <r>
      <rPr>
        <b/>
        <sz val="11"/>
        <rFont val="Calibri"/>
        <family val="2"/>
      </rPr>
      <t xml:space="preserve">Survey questions 89-99 will create a 5-year net-present-value (NPV) forecast of financial benefit, quantifying the value that the Mifos system will provide to your organization over the next 5 years.  
</t>
    </r>
    <r>
      <rPr>
        <sz val="11"/>
        <rFont val="Calibri"/>
        <family val="2"/>
      </rPr>
      <t xml:space="preserve">The section titled "Estimated Impact of MIS" (questions 89-100) is meant to record your projections about how you expect Mifos to impact your operations.  For example, you may expect that loan officers will spend less time entering data into the system and will spend more time in the field. In that case, their caseload should increase because of the extra time Mifos has afforded them.  What kind of caseload increase do you think is possible based purely on the extra time that Mifos will generate for your loan officers?  Record your answer to this question on line 89.
</t>
    </r>
  </si>
  <si>
    <r>
      <rPr>
        <b/>
        <sz val="11"/>
        <rFont val="Calibri"/>
        <family val="2"/>
        <scheme val="minor"/>
      </rPr>
      <t>FA Chart</t>
    </r>
    <r>
      <rPr>
        <sz val="11"/>
        <rFont val="Calibri"/>
        <family val="2"/>
        <scheme val="minor"/>
      </rPr>
      <t xml:space="preserve">:  This tab shows the yearly cash flows. One should expect it to be negative during the upfront (investment) year and gradually increase over time.
</t>
    </r>
    <r>
      <rPr>
        <b/>
        <sz val="11"/>
        <rFont val="Calibri"/>
        <family val="2"/>
        <scheme val="minor"/>
      </rPr>
      <t>Financial Analysis in USD</t>
    </r>
    <r>
      <rPr>
        <sz val="11"/>
        <rFont val="Calibri"/>
        <family val="2"/>
        <scheme val="minor"/>
      </rPr>
      <t xml:space="preserve">:  This tab shows the 5-year NPV calculations, the payback period, and annual ROI in US dollars.  
</t>
    </r>
    <r>
      <rPr>
        <b/>
        <sz val="11"/>
        <rFont val="Calibri"/>
        <family val="2"/>
        <scheme val="minor"/>
      </rPr>
      <t>Financial Analysis</t>
    </r>
    <r>
      <rPr>
        <sz val="11"/>
        <rFont val="Calibri"/>
        <family val="2"/>
        <scheme val="minor"/>
      </rPr>
      <t xml:space="preserve">:  This tab shows the 5-year NPV calculations, the payback period, and annual ROI in local currency.
</t>
    </r>
  </si>
  <si>
    <r>
      <t xml:space="preserve">The </t>
    </r>
    <r>
      <rPr>
        <b/>
        <sz val="11"/>
        <rFont val="Calibri"/>
        <family val="2"/>
        <scheme val="minor"/>
      </rPr>
      <t xml:space="preserve">Calculation Definitions &amp; Notes </t>
    </r>
    <r>
      <rPr>
        <sz val="11"/>
        <rFont val="Calibri"/>
        <family val="2"/>
        <scheme val="minor"/>
      </rPr>
      <t>tab has a detailed description of the underlying calculations behind each driver of the NPV model.</t>
    </r>
  </si>
  <si>
    <r>
      <rPr>
        <b/>
        <u/>
        <sz val="11"/>
        <color theme="0"/>
        <rFont val="Calibri"/>
        <family val="2"/>
      </rPr>
      <t>Estimated Impact of MIS</t>
    </r>
    <r>
      <rPr>
        <b/>
        <sz val="11"/>
        <color theme="0"/>
        <rFont val="Calibri"/>
        <family val="2"/>
      </rPr>
      <t xml:space="preserve">
</t>
    </r>
    <r>
      <rPr>
        <b/>
        <i/>
        <sz val="11"/>
        <color theme="0"/>
        <rFont val="Calibri"/>
        <family val="2"/>
      </rPr>
      <t>This section should be completed based on how you think the new MIS will benefit your business operations in the future.  These numbers can be changed to show the varying impact of the MIS on your operations.</t>
    </r>
  </si>
  <si>
    <t>Expenses - Other Miscellaneous</t>
  </si>
  <si>
    <t>Expenses - New IT Staff</t>
  </si>
  <si>
    <t>Expenses - Software Customizations and Enhancements</t>
  </si>
  <si>
    <r>
      <t xml:space="preserve">Product Management
</t>
    </r>
    <r>
      <rPr>
        <b/>
        <i/>
        <sz val="11"/>
        <color theme="0"/>
        <rFont val="Calibri"/>
        <family val="2"/>
      </rPr>
      <t>All questions in this section should be answered before the new MIS is installed. All projections noted should be based on business planning that assumes no change in system.</t>
    </r>
  </si>
  <si>
    <r>
      <t xml:space="preserve">Cash Management
</t>
    </r>
    <r>
      <rPr>
        <b/>
        <i/>
        <sz val="11"/>
        <color theme="0"/>
        <rFont val="Calibri"/>
        <family val="2"/>
      </rPr>
      <t>All questions in this section should be answered before the new MIS is installed.  All projections noted should be based on business planning that assumes no change in system.</t>
    </r>
  </si>
  <si>
    <r>
      <t xml:space="preserve">Loss Management
</t>
    </r>
    <r>
      <rPr>
        <b/>
        <i/>
        <sz val="11"/>
        <color theme="0"/>
        <rFont val="Calibri"/>
        <family val="2"/>
      </rPr>
      <t>All questions in this section should be answered before the new MIS is installed. All projections noted should be based on business planning that assumes no change in system.</t>
    </r>
  </si>
  <si>
    <r>
      <rPr>
        <b/>
        <u/>
        <sz val="11"/>
        <color theme="0"/>
        <rFont val="Calibri"/>
        <family val="2"/>
      </rPr>
      <t>Current Operations</t>
    </r>
    <r>
      <rPr>
        <b/>
        <sz val="11"/>
        <color theme="0"/>
        <rFont val="Calibri"/>
        <family val="2"/>
      </rPr>
      <t xml:space="preserve">
</t>
    </r>
    <r>
      <rPr>
        <b/>
        <i/>
        <sz val="11"/>
        <color theme="0"/>
        <rFont val="Calibri"/>
        <family val="2"/>
      </rPr>
      <t>All questions in this section should be answered before the new MIS is installed. All projections noted should be based on business planning that assumes no change in system.</t>
    </r>
  </si>
  <si>
    <r>
      <rPr>
        <b/>
        <u/>
        <sz val="11"/>
        <color theme="0"/>
        <rFont val="Calibri"/>
        <family val="2"/>
      </rPr>
      <t>Growth Projection Questions</t>
    </r>
    <r>
      <rPr>
        <b/>
        <sz val="11"/>
        <color theme="0"/>
        <rFont val="Calibri"/>
        <family val="2"/>
      </rPr>
      <t xml:space="preserve">
</t>
    </r>
    <r>
      <rPr>
        <b/>
        <i/>
        <sz val="11"/>
        <color theme="0"/>
        <rFont val="Calibri"/>
        <family val="2"/>
      </rPr>
      <t>All questions in this section should be answered before the new MIS is installed. All projections noted should be based on business planning that assumes no change in system.</t>
    </r>
  </si>
  <si>
    <t>How many loan officers (LO) do you currently employ?</t>
  </si>
  <si>
    <t>What are your total assets?</t>
  </si>
  <si>
    <t>How much is 1 USD in your reporting currency (at current rate of exchange)?</t>
  </si>
  <si>
    <r>
      <t xml:space="preserve">How many person-days does it take to consolidate/prepare monthly reports </t>
    </r>
    <r>
      <rPr>
        <b/>
        <sz val="11"/>
        <rFont val="Calibri"/>
        <family val="2"/>
        <scheme val="minor"/>
      </rPr>
      <t xml:space="preserve">at the head office [??] </t>
    </r>
    <r>
      <rPr>
        <sz val="11"/>
        <rFont val="Calibri"/>
        <family val="2"/>
        <scheme val="minor"/>
      </rPr>
      <t>each month?  (number of persons x number of days)</t>
    </r>
  </si>
  <si>
    <t>How many person-days does it take to create year-end reports at the head office? (number of persons x number of days)</t>
  </si>
  <si>
    <r>
      <t xml:space="preserve">On average, during these all-network visits, how many person-days </t>
    </r>
    <r>
      <rPr>
        <b/>
        <sz val="11"/>
        <rFont val="Calibri"/>
        <family val="2"/>
      </rPr>
      <t xml:space="preserve"> </t>
    </r>
    <r>
      <rPr>
        <sz val="11"/>
        <rFont val="Calibri"/>
        <family val="2"/>
        <scheme val="minor"/>
      </rPr>
      <t>does it take for IT staff to complete their maintenance -- such as upgrades or fixing bugs -- at one branch? (number of IT staff deployed per branch x number of maintenance days per branch)</t>
    </r>
  </si>
  <si>
    <t>What is your average gross annual write-off (before recoveries are included)?</t>
  </si>
  <si>
    <t>On average, how many person-days does it take your IT staff to configure your new products on your MIS at the head office? (number of IT staff deployed x number of days)</t>
  </si>
  <si>
    <r>
      <t xml:space="preserve">On average, how many person-days does it take your IT staff to configure your new products on your MIS at a branch location? (number of IT staff deployed per branch x number of days </t>
    </r>
    <r>
      <rPr>
        <u/>
        <sz val="11"/>
        <rFont val="Calibri"/>
        <family val="2"/>
      </rPr>
      <t>per</t>
    </r>
    <r>
      <rPr>
        <sz val="11"/>
        <rFont val="Calibri"/>
        <family val="2"/>
        <scheme val="minor"/>
      </rPr>
      <t xml:space="preserve"> branch)?</t>
    </r>
  </si>
  <si>
    <r>
      <t>On average, how many</t>
    </r>
    <r>
      <rPr>
        <b/>
        <sz val="11"/>
        <rFont val="Calibri"/>
        <family val="2"/>
      </rPr>
      <t xml:space="preserve"> calendar-days</t>
    </r>
    <r>
      <rPr>
        <sz val="11"/>
        <rFont val="Calibri"/>
        <family val="2"/>
        <scheme val="minor"/>
      </rPr>
      <t xml:space="preserve"> does it take to configure and 'go live' with the new product (time elapsed between the new product's approval at the head office and the time when the new product is first marketed and offered to a client)?</t>
    </r>
  </si>
  <si>
    <t>What is your annual salary per head office accounting staff member?</t>
  </si>
  <si>
    <t>How many days in a year are used for interest calculations? (Usually, this is 360 or 365)</t>
  </si>
  <si>
    <t>How many work weeks in a year? (usually 52)</t>
  </si>
  <si>
    <t xml:space="preserve">How many work days in a week? (usually 5 or 6) </t>
  </si>
  <si>
    <t>Are you hosting Mifos locally or using our Mifos Cloud services?</t>
  </si>
  <si>
    <t>Do you have a server room? If not, what is the cost of setting up a server room? (e.g., rack, air conditioner, cables)</t>
  </si>
  <si>
    <t>What is the average cost of a LAN set-up? (includes cables, and routers)</t>
  </si>
  <si>
    <t>Do you need to install or upgrade your internet connectivity at the head office?</t>
  </si>
  <si>
    <t>What is the installation cost of the required internet service at the head office? (Usually business package)</t>
  </si>
  <si>
    <t>What is the cost of the required internet service/year at the head office? (Usually business package)</t>
  </si>
  <si>
    <t xml:space="preserve">What is the installation cost of  the required internet service at branches? </t>
  </si>
  <si>
    <t>How many licenses do you have for the head office?</t>
  </si>
  <si>
    <t>How many licenses do you have for each branch?</t>
  </si>
  <si>
    <t>How many staff members will need initial user training  (include all accounting, head office management, branch managers, data encoder staff, etc)?</t>
  </si>
  <si>
    <t>How many days of training will each staff member need?  (Typically estimate 2)</t>
  </si>
  <si>
    <t>How many staff members will need refresher training per year?  (Assume half of initial training)</t>
  </si>
  <si>
    <t>How many encoders at the head office (for ongoing data entry, not for one-time data migration)?</t>
  </si>
  <si>
    <t>How many new staff members will you hire for MIS maintenance for the deployment?</t>
  </si>
  <si>
    <t>Are there any other one-time costs included in the Mifos deployment that haven't been listed elsewhere?</t>
  </si>
  <si>
    <r>
      <t>What is your estimated percentage decrease</t>
    </r>
    <r>
      <rPr>
        <sz val="11"/>
        <rFont val="Calibri"/>
        <family val="2"/>
      </rPr>
      <t xml:space="preserve"> (increase)</t>
    </r>
    <r>
      <rPr>
        <sz val="11"/>
        <rFont val="Calibri"/>
        <family val="2"/>
        <scheme val="minor"/>
      </rPr>
      <t xml:space="preserve"> in time needed to prepare reports at the head office?</t>
    </r>
  </si>
  <si>
    <r>
      <t>What is your estimated percentage decrease</t>
    </r>
    <r>
      <rPr>
        <sz val="11"/>
        <rFont val="Calibri"/>
        <family val="2"/>
      </rPr>
      <t xml:space="preserve"> (increase)</t>
    </r>
    <r>
      <rPr>
        <sz val="11"/>
        <rFont val="Calibri"/>
        <family val="2"/>
        <scheme val="minor"/>
      </rPr>
      <t xml:space="preserve"> in time needed to prepare reports at branch level?</t>
    </r>
  </si>
  <si>
    <r>
      <t xml:space="preserve">What is your estimated percentage  decrease  </t>
    </r>
    <r>
      <rPr>
        <sz val="11"/>
        <rFont val="Calibri"/>
        <family val="2"/>
      </rPr>
      <t>(increase)</t>
    </r>
    <r>
      <rPr>
        <sz val="11"/>
        <rFont val="Calibri"/>
        <family val="2"/>
        <scheme val="minor"/>
      </rPr>
      <t xml:space="preserve">  in net write-offs  per year as a % of LPF (total write-offs minus recoveries)?   (For example, if you wrote off 1.5% of LPF this year, but expect to only write off 1.25% next year, the decrease is 25%)</t>
    </r>
  </si>
  <si>
    <r>
      <t xml:space="preserve">What is your estimated percentage decrease </t>
    </r>
    <r>
      <rPr>
        <sz val="11"/>
        <rFont val="Calibri"/>
        <family val="2"/>
      </rPr>
      <t>(increase)</t>
    </r>
    <r>
      <rPr>
        <sz val="11"/>
        <rFont val="Calibri"/>
        <family val="2"/>
        <scheme val="minor"/>
      </rPr>
      <t xml:space="preserve"> in the annual amount allocated for loan loss provisions, as a % of LPF? (For example, if you hold 1.5% of LPF for loan loss this year, but expect to only hold 1.25% next year, the decrease is 25%)</t>
    </r>
  </si>
  <si>
    <r>
      <t xml:space="preserve">What is the estimated  percentage decrease </t>
    </r>
    <r>
      <rPr>
        <sz val="11"/>
        <rFont val="Calibri"/>
        <family val="2"/>
      </rPr>
      <t>(increase)</t>
    </r>
    <r>
      <rPr>
        <sz val="11"/>
        <rFont val="Calibri"/>
        <family val="2"/>
        <scheme val="minor"/>
      </rPr>
      <t xml:space="preserve"> in fraud due to the MIS?</t>
    </r>
  </si>
  <si>
    <r>
      <t xml:space="preserve">What is the estimated decrease </t>
    </r>
    <r>
      <rPr>
        <sz val="11"/>
        <rFont val="Calibri"/>
        <family val="2"/>
      </rPr>
      <t>(increase)</t>
    </r>
    <r>
      <rPr>
        <sz val="11"/>
        <rFont val="Calibri"/>
        <family val="2"/>
        <scheme val="minor"/>
      </rPr>
      <t xml:space="preserve">  in short-term asset spread due to MIS insight into cash management?</t>
    </r>
  </si>
  <si>
    <r>
      <t xml:space="preserve">What is your estimated decrease </t>
    </r>
    <r>
      <rPr>
        <sz val="11"/>
        <rFont val="Calibri"/>
        <family val="2"/>
      </rPr>
      <t>(increase)</t>
    </r>
    <r>
      <rPr>
        <sz val="11"/>
        <rFont val="Calibri"/>
        <family val="2"/>
        <scheme val="minor"/>
      </rPr>
      <t xml:space="preserve"> in time in bringing a new client on board?</t>
    </r>
  </si>
  <si>
    <r>
      <t xml:space="preserve">What is your estimated decrease </t>
    </r>
    <r>
      <rPr>
        <sz val="11"/>
        <rFont val="Calibri"/>
        <family val="2"/>
      </rPr>
      <t>(increase)</t>
    </r>
    <r>
      <rPr>
        <sz val="11"/>
        <rFont val="Calibri"/>
        <family val="2"/>
        <scheme val="minor"/>
      </rPr>
      <t xml:space="preserve">  in loan approval and disbursement  time?</t>
    </r>
  </si>
  <si>
    <t>What is the estimated decrease in the number of person-days for your IT staff to configure your new products on Mifos at the head office? (number of IT staff deployed x number of days)</t>
  </si>
  <si>
    <r>
      <t>What is the estimated decrease in the number of</t>
    </r>
    <r>
      <rPr>
        <b/>
        <sz val="11"/>
        <rFont val="Calibri"/>
        <family val="2"/>
      </rPr>
      <t xml:space="preserve"> calendar-days</t>
    </r>
    <r>
      <rPr>
        <sz val="11"/>
        <rFont val="Calibri"/>
        <family val="2"/>
        <scheme val="minor"/>
      </rPr>
      <t xml:space="preserve"> it takes to configure and 'go live' with a new product (time elapsed between the new product's approval at HO and the time when the new product is first marketed and offered to a client)?</t>
    </r>
  </si>
  <si>
    <t>MFIs must maintain adequate cash reserves to fund loans.  Holding more cash than necessary means making fewer loans and earning less interest income. Holding less cash than necessary means unnecessary short-term borrowing and added interest expense. Mifos provides real-time data on the loan portfolio allows better cash management, indicated by actual cash reserves that move closer to reserve targets.  
We start by identifying the historical average difference between the target and the actual cash held for the period immediately preceding Mifos deployment (Year 0). The difference between these two is the spread, also expressed as a percentage of total short-term assets. If the spread is positive, the MFI is holding more cash than needed, and there is foregone revenue. If the spread is negative, there must be short-term borrowing to cover the difference. We convert the spread into actual monetary values by multiplying the spread % by the total assets to get a dollar amount.  We assume that short-term borrowing is necessary to fund any shortfall in spread, and we calculate the interest paid on short-term borrowing.  If there is foregone revenue because the MFI is holding too much cash, we assume that only some of the extra cash would be converted into new loans at the prevailing yield, so we multiply that assumption (say, 50% or so) by the current yield.</t>
  </si>
  <si>
    <r>
      <t xml:space="preserve">With a decentralized system, each time a new product is rolled out staff from the home office must visit each and every branch to update local computers with the new product offering. This takes time. During that time, no new revenue from those products is produced. Under Mifos, because new products are available immediately upon release, those days are now days that the product is generating incremental revenue.
We capture the value of this incremental revenue using projections </t>
    </r>
    <r>
      <rPr>
        <sz val="11"/>
        <rFont val="Calibri"/>
        <family val="2"/>
      </rPr>
      <t xml:space="preserve">of the number </t>
    </r>
    <r>
      <rPr>
        <sz val="11"/>
        <rFont val="Calibri"/>
        <family val="2"/>
        <scheme val="minor"/>
      </rPr>
      <t xml:space="preserve">new products to be introduced (provided by the MFI) and an estimate of the number of days required to complete the configuration of the new product at all branches.  Because new products are not adopted by all customers, we make an assumption about the number of customers who would typically adopt a new product in the first year (again based on past experience reported by the MFI). Using these data, we can calculate the number of days that it takes for a new product to actually reach customers under the old decentralized system. </t>
    </r>
  </si>
  <si>
    <t>All expenses associated with storing and caring for Mifos data, whether the costs are subscription-based or provided through a support contract and in-house application servers, generators and new server room accommodations.</t>
  </si>
  <si>
    <t>For all the new computers that are necessary, capture the cost of non-MIS license fees, such as those for the operating system and antivirus programs, here.</t>
  </si>
  <si>
    <t>If the internet connection must be upgraded to accommodate Mifos online, capture costs of internet service here.</t>
  </si>
  <si>
    <t>There will be expenses associated with training staff on Mifos during initial deployment, and the MFI should budget for annual training refreshers for new staff.</t>
  </si>
  <si>
    <t>In order to optimize the data entry function, all MFIs deploying Mifos should hire data encoders to enter transactions from the field.  Centralizing this funtion with a few encoders relieves the LO's of this duty and allows them to spend more time adding caseload or pursuing at-risk accounts.  This expense may vary from MFI to MFI, but typically it should be the cost of one encoder per branch.</t>
  </si>
  <si>
    <t>New IT staff may be required to properly maintain the system and act as support for all users.  This calculation simply notes the cost of the IT staff added each year.</t>
  </si>
  <si>
    <t>If any other costs were incurred during deployment, or are forecast for future years, but do not appear on this sheet, those costs can be added in this calculation.</t>
  </si>
  <si>
    <t>In a decentralized system, a support person must visit each new branch to set up the MIS, and during the year, an MFI will send IT staff to each branch location to conduct upgrades or apply routine maintenance patches. These costs are eliminated with Mifos because all branches have access to the most updated version of the system as soon as they plug in their computers and access the internet.
To calculate the savings for new branch set-up, we simply multiply the number of new branches expected per year by the days required to set up the old system on the new branch and convert that to an IT staff daily rate for salary saved.  To calculate the savings for routine maintenance, we determine how many trips IT staff used to take to the network of branches per year to maintain the old system (e.g., 2 maintenance trips per year) and then calculate the daily rates of the IT staff involved. Finally, we add the same savings for new product configuration -- we take the number of new products to be introduced per year and the estimated time necessary to configure the product before and after Mifos, and using the IT staff daily rate to calculate the saved salary, we estimate a monetary savings.</t>
  </si>
  <si>
    <t xml:space="preserve">When fraud cannot be prevented in advance, the best defense is information systems that allow it to be detected quickly by observing a pattern of irregular transactions or suspect financial imbalances. The long delays and error- prone consolidation processes associated with distributed systems increase the difficulty of detecting fraud. By contrast, a system like Mifos, with real-time consolidated data and the ability to create reports that identify suspect transactions, makes fraud detection vastly easier.
Money lost to fraud represents lost revenue from legitimate loans not made or repayments lost in transit. So a reduction in the amount of fraud translates into increased revenue. </t>
  </si>
  <si>
    <t>Past-due loans are a key measure of the financial health of an MFI.  LOs who are relieved of burdensome data entry and manual ledger updates have more time to follow up on payments in arrears. Further, centralized real-time reporting illuminates at-risk accounts earlier in the process, giving LOs more time to reduce payments in arrears and increase their recovery rates.
To monetize the benefits of reducing past-due loans, we make two calculations, calculating the difference in net annual write-offs (write-offs minus recoveries) both before and after Mifos. Then, we add that savings to the benefits of reducing total loan loss provisions.  We assume that only some of the extra cash made available by a reduction in loan loss provision would be converted into new loans at the prevailing yield, so we multiply that assumption (say, 50% or so) by the reduction in annual total loan loss provision and multiply that by current yield.</t>
  </si>
  <si>
    <t>Most MIS systems require a separate license for each desktop, so there are license fees associated with setting up each new branch. These costs are eliminated by Mifos. There are no license fees, and every new branch has access to the MIS as soon as the computers are plugged in.</t>
  </si>
  <si>
    <t>Reducing the time it takes from loan application to loan disbursement has an impact on both customer satisfaction and staff time spent on processing. We capture the value of this cost savings using an estimate of the number of days required under the old decentralized system to onboard a customer, complete the application processing, and approve and disburse a new loan. Under Mifos, because the time necessary for disbursement is reduced, we capture the labor costs saved.</t>
  </si>
  <si>
    <r>
      <t xml:space="preserve">Last year, what was the spread between your short-term asset target and actuals?  (e.g., if target was 6% but you held only 4%, then the spread </t>
    </r>
    <r>
      <rPr>
        <sz val="11"/>
        <color theme="1"/>
        <rFont val="Calibri"/>
        <family val="2"/>
        <scheme val="minor"/>
      </rPr>
      <t>was 2%.  If you held 6.5% cash then the spread was 0.5%)</t>
    </r>
  </si>
  <si>
    <t xml:space="preserve">How much will the initial implementation and feature development cost?  What will you pay Grameen Foundation Technology Center? </t>
  </si>
  <si>
    <t>Staff Time for Encoding (Encoder)</t>
  </si>
  <si>
    <t>Staff Time for Maintenance</t>
  </si>
  <si>
    <t>Payback Period</t>
  </si>
</sst>
</file>

<file path=xl/styles.xml><?xml version="1.0" encoding="utf-8"?>
<styleSheet xmlns="http://schemas.openxmlformats.org/spreadsheetml/2006/main">
  <numFmts count="8">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000000"/>
  </numFmts>
  <fonts count="42">
    <font>
      <sz val="11"/>
      <color theme="1"/>
      <name val="Calibri"/>
      <family val="2"/>
      <scheme val="minor"/>
    </font>
    <font>
      <sz val="11"/>
      <name val="Calibri"/>
      <family val="2"/>
    </font>
    <font>
      <sz val="11"/>
      <color indexed="8"/>
      <name val="Calibri"/>
      <family val="2"/>
    </font>
    <font>
      <sz val="11"/>
      <color indexed="8"/>
      <name val="Calibri"/>
      <family val="2"/>
    </font>
    <font>
      <sz val="12"/>
      <color indexed="8"/>
      <name val="Arial"/>
      <family val="2"/>
    </font>
    <font>
      <b/>
      <sz val="11"/>
      <color indexed="8"/>
      <name val="Calibri"/>
      <family val="2"/>
    </font>
    <font>
      <sz val="11"/>
      <color indexed="8"/>
      <name val="Calibri"/>
      <family val="2"/>
    </font>
    <font>
      <b/>
      <i/>
      <sz val="11"/>
      <color indexed="9"/>
      <name val="Calibri"/>
      <family val="2"/>
    </font>
    <font>
      <b/>
      <sz val="11"/>
      <name val="Calibri"/>
      <family val="2"/>
    </font>
    <font>
      <i/>
      <sz val="11"/>
      <name val="Calibri"/>
      <family val="2"/>
    </font>
    <font>
      <sz val="11"/>
      <color theme="1"/>
      <name val="Calibri"/>
      <family val="2"/>
      <scheme val="minor"/>
    </font>
    <font>
      <b/>
      <sz val="11"/>
      <color theme="0"/>
      <name val="Calibri"/>
      <family val="2"/>
      <scheme val="minor"/>
    </font>
    <font>
      <u/>
      <sz val="9.9"/>
      <color theme="10"/>
      <name val="Calibri"/>
      <family val="2"/>
    </font>
    <font>
      <b/>
      <sz val="11"/>
      <color theme="1"/>
      <name val="Calibri"/>
      <family val="2"/>
      <scheme val="minor"/>
    </font>
    <font>
      <i/>
      <sz val="11"/>
      <color theme="1"/>
      <name val="Calibri"/>
      <family val="2"/>
      <scheme val="minor"/>
    </font>
    <font>
      <b/>
      <sz val="14"/>
      <color theme="1"/>
      <name val="Calibri"/>
      <family val="2"/>
      <scheme val="minor"/>
    </font>
    <font>
      <b/>
      <i/>
      <sz val="14"/>
      <color theme="1"/>
      <name val="Calibri"/>
      <family val="2"/>
      <scheme val="minor"/>
    </font>
    <font>
      <b/>
      <u/>
      <sz val="11"/>
      <color theme="0"/>
      <name val="Calibri"/>
      <family val="2"/>
      <scheme val="minor"/>
    </font>
    <font>
      <b/>
      <sz val="11"/>
      <color theme="0"/>
      <name val="Calibri"/>
      <family val="2"/>
    </font>
    <font>
      <b/>
      <sz val="11"/>
      <name val="Calibri"/>
      <family val="2"/>
      <scheme val="minor"/>
    </font>
    <font>
      <sz val="10"/>
      <name val="Calibri"/>
      <family val="2"/>
      <scheme val="minor"/>
    </font>
    <font>
      <b/>
      <i/>
      <u/>
      <sz val="11"/>
      <color rgb="FF0070C0"/>
      <name val="Calibri"/>
      <family val="2"/>
      <scheme val="minor"/>
    </font>
    <font>
      <b/>
      <sz val="16"/>
      <color rgb="FFC00000"/>
      <name val="Calibri"/>
      <family val="2"/>
      <scheme val="minor"/>
    </font>
    <font>
      <sz val="11"/>
      <name val="Calibri"/>
      <family val="2"/>
      <scheme val="minor"/>
    </font>
    <font>
      <b/>
      <i/>
      <u/>
      <sz val="12"/>
      <color rgb="FF0070C0"/>
      <name val="Calibri"/>
      <family val="2"/>
      <scheme val="minor"/>
    </font>
    <font>
      <u/>
      <sz val="11"/>
      <color theme="1"/>
      <name val="Calibri"/>
      <family val="2"/>
      <scheme val="minor"/>
    </font>
    <font>
      <sz val="11"/>
      <color rgb="FFFF0000"/>
      <name val="Calibri"/>
      <family val="2"/>
      <scheme val="minor"/>
    </font>
    <font>
      <sz val="10"/>
      <color indexed="81"/>
      <name val="Tahoma"/>
      <family val="2"/>
    </font>
    <font>
      <b/>
      <sz val="10"/>
      <color indexed="81"/>
      <name val="Tahoma"/>
      <family val="2"/>
    </font>
    <font>
      <b/>
      <sz val="11"/>
      <color rgb="FFFF0000"/>
      <name val="Calibri"/>
      <family val="2"/>
      <scheme val="minor"/>
    </font>
    <font>
      <sz val="11"/>
      <color theme="0"/>
      <name val="Calibri"/>
      <family val="2"/>
      <scheme val="minor"/>
    </font>
    <font>
      <b/>
      <sz val="16"/>
      <color theme="0"/>
      <name val="Calibri"/>
      <family val="2"/>
      <scheme val="minor"/>
    </font>
    <font>
      <b/>
      <sz val="18"/>
      <color theme="0"/>
      <name val="Calibri"/>
      <family val="2"/>
      <scheme val="minor"/>
    </font>
    <font>
      <b/>
      <i/>
      <sz val="18"/>
      <color theme="0"/>
      <name val="Calibri"/>
      <family val="2"/>
      <scheme val="minor"/>
    </font>
    <font>
      <sz val="10"/>
      <color rgb="FF006DAD"/>
      <name val="Calibri"/>
      <family val="2"/>
      <scheme val="minor"/>
    </font>
    <font>
      <b/>
      <sz val="14"/>
      <color rgb="FF006DAD"/>
      <name val="Calibri"/>
      <family val="2"/>
      <scheme val="minor"/>
    </font>
    <font>
      <b/>
      <sz val="12"/>
      <color rgb="FF006DAD"/>
      <name val="Calibri"/>
      <family val="2"/>
      <scheme val="minor"/>
    </font>
    <font>
      <b/>
      <u/>
      <sz val="11"/>
      <color theme="0"/>
      <name val="Calibri"/>
      <family val="2"/>
    </font>
    <font>
      <b/>
      <i/>
      <sz val="11"/>
      <color theme="0"/>
      <name val="Calibri"/>
      <family val="2"/>
    </font>
    <font>
      <u/>
      <sz val="11"/>
      <name val="Calibri"/>
      <family val="2"/>
    </font>
    <font>
      <sz val="11"/>
      <color theme="0"/>
      <name val="Calibri"/>
      <family val="2"/>
    </font>
    <font>
      <b/>
      <i/>
      <sz val="11"/>
      <color theme="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rgb="FF006DAD"/>
        <bgColor indexed="64"/>
      </patternFill>
    </fill>
    <fill>
      <patternFill patternType="solid">
        <fgColor rgb="FFFFFFDD"/>
        <bgColor indexed="64"/>
      </patternFill>
    </fill>
    <fill>
      <patternFill patternType="solid">
        <fgColor rgb="FFD6EBBB"/>
        <bgColor indexed="64"/>
      </patternFill>
    </fill>
  </fills>
  <borders count="5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theme="3"/>
      </left>
      <right style="thin">
        <color theme="3"/>
      </right>
      <top style="thin">
        <color theme="3"/>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style="thin">
        <color theme="4" tint="0.79998168889431442"/>
      </bottom>
      <diagonal/>
    </border>
    <border>
      <left style="thin">
        <color theme="4"/>
      </left>
      <right style="thin">
        <color theme="4"/>
      </right>
      <top style="thin">
        <color theme="4"/>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rgb="FFCDECFF"/>
      </left>
      <right/>
      <top/>
      <bottom/>
      <diagonal/>
    </border>
    <border>
      <left/>
      <right style="thin">
        <color rgb="FFCDECFF"/>
      </right>
      <top/>
      <bottom/>
      <diagonal/>
    </border>
    <border>
      <left style="thin">
        <color rgb="FFCDECFF"/>
      </left>
      <right/>
      <top/>
      <bottom style="thin">
        <color rgb="FFCDECFF"/>
      </bottom>
      <diagonal/>
    </border>
    <border>
      <left/>
      <right/>
      <top/>
      <bottom style="thin">
        <color rgb="FFCDECFF"/>
      </bottom>
      <diagonal/>
    </border>
    <border>
      <left/>
      <right style="thin">
        <color rgb="FFCDECFF"/>
      </right>
      <top/>
      <bottom style="thin">
        <color rgb="FFCDECFF"/>
      </bottom>
      <diagonal/>
    </border>
    <border>
      <left style="thin">
        <color rgb="FFCDECFF"/>
      </left>
      <right/>
      <top style="thin">
        <color rgb="FFCDECFF"/>
      </top>
      <bottom style="thin">
        <color rgb="FFCDECFF"/>
      </bottom>
      <diagonal/>
    </border>
    <border>
      <left/>
      <right/>
      <top style="thin">
        <color rgb="FFCDECFF"/>
      </top>
      <bottom style="thin">
        <color rgb="FFCDECFF"/>
      </bottom>
      <diagonal/>
    </border>
    <border>
      <left/>
      <right style="thin">
        <color rgb="FFCDECFF"/>
      </right>
      <top style="thin">
        <color rgb="FFCDECFF"/>
      </top>
      <bottom style="thin">
        <color rgb="FFCDECFF"/>
      </bottom>
      <diagonal/>
    </border>
    <border>
      <left style="thin">
        <color rgb="FFCDECFF"/>
      </left>
      <right/>
      <top style="thin">
        <color rgb="FFCDECFF"/>
      </top>
      <bottom/>
      <diagonal/>
    </border>
    <border>
      <left/>
      <right/>
      <top style="thin">
        <color rgb="FFCDECFF"/>
      </top>
      <bottom/>
      <diagonal/>
    </border>
    <border>
      <left/>
      <right style="thin">
        <color rgb="FFCDECFF"/>
      </right>
      <top style="thin">
        <color rgb="FFCDECFF"/>
      </top>
      <bottom/>
      <diagonal/>
    </border>
    <border>
      <left style="thin">
        <color rgb="FFCDECFF"/>
      </left>
      <right/>
      <top style="medium">
        <color indexed="64"/>
      </top>
      <bottom style="medium">
        <color indexed="64"/>
      </bottom>
      <diagonal/>
    </border>
    <border>
      <left style="thin">
        <color theme="2"/>
      </left>
      <right style="thin">
        <color theme="2"/>
      </right>
      <top style="thin">
        <color theme="2"/>
      </top>
      <bottom style="thin">
        <color theme="2"/>
      </bottom>
      <diagonal/>
    </border>
    <border>
      <left style="thin">
        <color theme="2"/>
      </left>
      <right/>
      <top/>
      <bottom/>
      <diagonal/>
    </border>
    <border>
      <left style="thin">
        <color rgb="FFCDECFF"/>
      </left>
      <right style="thin">
        <color theme="2"/>
      </right>
      <top/>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rgb="FFCDECFF"/>
      </left>
      <right style="thin">
        <color theme="2"/>
      </right>
      <top style="thin">
        <color theme="2"/>
      </top>
      <bottom style="thin">
        <color theme="2"/>
      </bottom>
      <diagonal/>
    </border>
    <border>
      <left/>
      <right style="thin">
        <color theme="2"/>
      </right>
      <top style="thin">
        <color theme="2"/>
      </top>
      <bottom style="thin">
        <color theme="2"/>
      </bottom>
      <diagonal/>
    </border>
    <border>
      <left/>
      <right style="thin">
        <color theme="2"/>
      </right>
      <top style="thin">
        <color theme="2"/>
      </top>
      <bottom/>
      <diagonal/>
    </border>
    <border>
      <left/>
      <right style="thin">
        <color theme="2"/>
      </right>
      <top/>
      <bottom style="thin">
        <color theme="2"/>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2"/>
      </right>
      <top/>
      <bottom/>
      <diagonal/>
    </border>
    <border>
      <left style="thin">
        <color theme="2"/>
      </left>
      <right style="thin">
        <color theme="2"/>
      </right>
      <top/>
      <bottom/>
      <diagonal/>
    </border>
    <border>
      <left style="thin">
        <color theme="2"/>
      </left>
      <right/>
      <top style="thin">
        <color theme="2"/>
      </top>
      <bottom style="thin">
        <color theme="2"/>
      </bottom>
      <diagonal/>
    </border>
    <border>
      <left style="thin">
        <color theme="2"/>
      </left>
      <right style="thin">
        <color theme="2"/>
      </right>
      <top style="thin">
        <color theme="4" tint="-0.249977111117893"/>
      </top>
      <bottom style="thin">
        <color theme="2"/>
      </bottom>
      <diagonal/>
    </border>
    <border>
      <left/>
      <right/>
      <top/>
      <bottom style="thin">
        <color theme="2"/>
      </bottom>
      <diagonal/>
    </border>
    <border>
      <left style="thin">
        <color indexed="64"/>
      </left>
      <right style="thin">
        <color theme="2"/>
      </right>
      <top style="thin">
        <color theme="2"/>
      </top>
      <bottom style="thin">
        <color theme="2"/>
      </bottom>
      <diagonal/>
    </border>
    <border>
      <left style="thin">
        <color theme="4" tint="-0.249977111117893"/>
      </left>
      <right style="thin">
        <color theme="4" tint="-0.249977111117893"/>
      </right>
      <top style="thin">
        <color theme="4" tint="-0.249977111117893"/>
      </top>
      <bottom style="thin">
        <color theme="3" tint="-0.249977111117893"/>
      </bottom>
      <diagonal/>
    </border>
    <border>
      <left style="thin">
        <color theme="2"/>
      </left>
      <right/>
      <top/>
      <bottom style="thin">
        <color theme="2"/>
      </bottom>
      <diagonal/>
    </border>
    <border>
      <left/>
      <right/>
      <top style="thin">
        <color theme="2"/>
      </top>
      <bottom style="thin">
        <color theme="2"/>
      </bottom>
      <diagonal/>
    </border>
    <border>
      <left style="thin">
        <color theme="2"/>
      </left>
      <right style="thin">
        <color theme="4" tint="0.59999389629810485"/>
      </right>
      <top style="thin">
        <color theme="2"/>
      </top>
      <bottom style="thin">
        <color theme="2"/>
      </bottom>
      <diagonal/>
    </border>
    <border>
      <left style="thin">
        <color theme="4" tint="0.79998168889431442"/>
      </left>
      <right style="thin">
        <color theme="2"/>
      </right>
      <top/>
      <bottom/>
      <diagonal/>
    </border>
    <border>
      <left style="thin">
        <color theme="2"/>
      </left>
      <right/>
      <top style="thin">
        <color theme="2"/>
      </top>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12" fillId="0" borderId="0" applyNumberFormat="0" applyFill="0" applyBorder="0" applyAlignment="0" applyProtection="0">
      <alignment vertical="top"/>
      <protection locked="0"/>
    </xf>
    <xf numFmtId="9" fontId="4" fillId="0" borderId="0" applyFont="0" applyFill="0" applyBorder="0" applyAlignment="0" applyProtection="0"/>
  </cellStyleXfs>
  <cellXfs count="260">
    <xf numFmtId="0" fontId="0" fillId="0" borderId="0" xfId="0"/>
    <xf numFmtId="0" fontId="0" fillId="0" borderId="0" xfId="0" applyAlignment="1">
      <alignment wrapText="1"/>
    </xf>
    <xf numFmtId="0" fontId="0" fillId="0" borderId="0" xfId="0" applyBorder="1"/>
    <xf numFmtId="0" fontId="0" fillId="0" borderId="0" xfId="0" applyFill="1" applyBorder="1"/>
    <xf numFmtId="0" fontId="0" fillId="0" borderId="0" xfId="0" applyFill="1"/>
    <xf numFmtId="9" fontId="0" fillId="0" borderId="0" xfId="0" applyNumberFormat="1"/>
    <xf numFmtId="0" fontId="0" fillId="0" borderId="0" xfId="0" applyAlignment="1">
      <alignment horizontal="left" vertical="top"/>
    </xf>
    <xf numFmtId="0" fontId="0" fillId="0" borderId="0" xfId="0" applyFill="1" applyAlignment="1">
      <alignment horizontal="left" vertical="top"/>
    </xf>
    <xf numFmtId="41" fontId="0" fillId="0" borderId="0" xfId="0" applyNumberFormat="1"/>
    <xf numFmtId="41" fontId="0" fillId="0" borderId="0" xfId="0" applyNumberFormat="1" applyAlignment="1">
      <alignment horizontal="left" vertical="top"/>
    </xf>
    <xf numFmtId="41" fontId="0" fillId="0" borderId="0" xfId="0" applyNumberFormat="1" applyBorder="1"/>
    <xf numFmtId="41" fontId="3" fillId="0" borderId="0" xfId="1" applyNumberFormat="1" applyFont="1" applyBorder="1"/>
    <xf numFmtId="0" fontId="5" fillId="0" borderId="0" xfId="0" applyFont="1" applyAlignment="1">
      <alignment horizontal="left" vertical="top"/>
    </xf>
    <xf numFmtId="164" fontId="3" fillId="0" borderId="0" xfId="1" applyNumberFormat="1" applyFont="1" applyBorder="1"/>
    <xf numFmtId="0" fontId="3" fillId="0" borderId="0" xfId="0" applyFont="1" applyBorder="1"/>
    <xf numFmtId="0" fontId="0" fillId="0" borderId="0" xfId="0" applyBorder="1" applyAlignment="1">
      <alignment horizontal="center"/>
    </xf>
    <xf numFmtId="9" fontId="3" fillId="0" borderId="0" xfId="4" applyNumberFormat="1" applyFont="1" applyFill="1" applyBorder="1" applyAlignment="1">
      <alignment horizontal="center"/>
    </xf>
    <xf numFmtId="0" fontId="0" fillId="0" borderId="0" xfId="0" applyAlignment="1">
      <alignment horizontal="center"/>
    </xf>
    <xf numFmtId="10" fontId="0" fillId="0" borderId="0" xfId="0" applyNumberFormat="1" applyFill="1" applyBorder="1" applyAlignment="1">
      <alignment horizontal="center"/>
    </xf>
    <xf numFmtId="0" fontId="0" fillId="0" borderId="0" xfId="0" applyFill="1" applyBorder="1" applyAlignment="1">
      <alignment horizontal="center"/>
    </xf>
    <xf numFmtId="41" fontId="0" fillId="0" borderId="0" xfId="0" applyNumberFormat="1" applyAlignment="1">
      <alignment horizontal="left" vertical="top" wrapText="1"/>
    </xf>
    <xf numFmtId="0" fontId="0" fillId="0" borderId="0" xfId="0" applyNumberFormat="1" applyAlignment="1">
      <alignment wrapText="1"/>
    </xf>
    <xf numFmtId="166" fontId="10" fillId="0" borderId="0" xfId="2" applyNumberFormat="1" applyFont="1"/>
    <xf numFmtId="164" fontId="10" fillId="0" borderId="0" xfId="1" applyNumberFormat="1" applyFont="1"/>
    <xf numFmtId="9" fontId="10" fillId="0" borderId="0" xfId="4" applyFont="1"/>
    <xf numFmtId="0" fontId="0" fillId="2" borderId="0" xfId="0" applyFill="1"/>
    <xf numFmtId="0" fontId="15" fillId="0" borderId="0" xfId="0" applyFont="1"/>
    <xf numFmtId="0" fontId="15" fillId="2" borderId="0" xfId="0" applyFont="1" applyFill="1"/>
    <xf numFmtId="0" fontId="14" fillId="0" borderId="0" xfId="0" applyFont="1" applyAlignment="1">
      <alignment wrapText="1"/>
    </xf>
    <xf numFmtId="166" fontId="10" fillId="0" borderId="0" xfId="2" applyNumberFormat="1" applyFont="1"/>
    <xf numFmtId="0" fontId="0" fillId="0" borderId="0" xfId="0" applyFill="1" applyBorder="1" applyAlignment="1">
      <alignment wrapText="1"/>
    </xf>
    <xf numFmtId="9" fontId="10" fillId="0" borderId="0" xfId="4" applyFont="1" applyFill="1" applyBorder="1"/>
    <xf numFmtId="0" fontId="16" fillId="0" borderId="0" xfId="0" applyFont="1" applyAlignment="1">
      <alignment wrapText="1"/>
    </xf>
    <xf numFmtId="164" fontId="2" fillId="0" borderId="0" xfId="1" applyNumberFormat="1" applyFont="1" applyFill="1" applyBorder="1"/>
    <xf numFmtId="0" fontId="0" fillId="0" borderId="0" xfId="0" applyAlignment="1">
      <alignment horizontal="left" vertical="center" wrapText="1"/>
    </xf>
    <xf numFmtId="0" fontId="0" fillId="0" borderId="0" xfId="0" applyNumberFormat="1" applyAlignment="1">
      <alignment horizontal="left" vertical="top" wrapText="1"/>
    </xf>
    <xf numFmtId="0" fontId="0" fillId="0" borderId="0" xfId="0" applyAlignment="1">
      <alignment horizontal="left" vertical="top" wrapText="1"/>
    </xf>
    <xf numFmtId="0" fontId="20" fillId="3" borderId="0" xfId="0" applyFont="1" applyFill="1"/>
    <xf numFmtId="0" fontId="20" fillId="3" borderId="0" xfId="0" applyFont="1" applyFill="1" applyAlignment="1">
      <alignment vertical="center"/>
    </xf>
    <xf numFmtId="0" fontId="21" fillId="3" borderId="0" xfId="3" applyFont="1" applyFill="1" applyBorder="1" applyAlignment="1" applyProtection="1">
      <alignment horizontal="center" vertical="top"/>
      <protection locked="0"/>
    </xf>
    <xf numFmtId="0" fontId="20" fillId="3" borderId="0" xfId="0" applyFont="1" applyFill="1" applyBorder="1"/>
    <xf numFmtId="0" fontId="23" fillId="3" borderId="0" xfId="0" applyFont="1" applyFill="1" applyBorder="1"/>
    <xf numFmtId="0" fontId="24" fillId="3" borderId="0" xfId="3" applyFont="1" applyFill="1" applyBorder="1" applyAlignment="1" applyProtection="1">
      <alignment horizontal="center"/>
    </xf>
    <xf numFmtId="0" fontId="24" fillId="3" borderId="0" xfId="3" applyFont="1" applyFill="1" applyBorder="1" applyAlignment="1" applyProtection="1">
      <alignment horizontal="center" vertical="top"/>
    </xf>
    <xf numFmtId="0" fontId="16" fillId="4" borderId="0" xfId="0" applyFont="1" applyFill="1"/>
    <xf numFmtId="3" fontId="0" fillId="4" borderId="0" xfId="0" applyNumberFormat="1" applyFill="1"/>
    <xf numFmtId="0" fontId="0" fillId="4" borderId="0" xfId="0" applyFill="1"/>
    <xf numFmtId="0" fontId="15" fillId="4" borderId="0" xfId="0" applyFont="1" applyFill="1"/>
    <xf numFmtId="3" fontId="13" fillId="4" borderId="0" xfId="0" applyNumberFormat="1" applyFont="1" applyFill="1" applyAlignment="1">
      <alignment horizontal="center"/>
    </xf>
    <xf numFmtId="3" fontId="0" fillId="4" borderId="2" xfId="0" applyNumberFormat="1" applyFill="1" applyBorder="1"/>
    <xf numFmtId="3" fontId="10" fillId="4" borderId="2" xfId="2" applyNumberFormat="1" applyFont="1" applyFill="1" applyBorder="1"/>
    <xf numFmtId="0" fontId="0" fillId="4" borderId="0" xfId="0" applyFill="1" applyAlignment="1">
      <alignment wrapText="1"/>
    </xf>
    <xf numFmtId="3" fontId="10" fillId="4" borderId="0" xfId="2" applyNumberFormat="1" applyFont="1" applyFill="1"/>
    <xf numFmtId="0" fontId="25" fillId="4" borderId="0" xfId="0" applyFont="1" applyFill="1" applyAlignment="1">
      <alignment wrapText="1"/>
    </xf>
    <xf numFmtId="0" fontId="0" fillId="4" borderId="0" xfId="0" applyFill="1" applyBorder="1" applyAlignment="1">
      <alignment wrapText="1"/>
    </xf>
    <xf numFmtId="164" fontId="0" fillId="4" borderId="2" xfId="0" applyNumberFormat="1" applyFill="1" applyBorder="1"/>
    <xf numFmtId="165" fontId="10" fillId="4" borderId="2" xfId="4" applyNumberFormat="1" applyFont="1" applyFill="1" applyBorder="1"/>
    <xf numFmtId="0" fontId="25" fillId="4" borderId="0" xfId="0" applyFont="1" applyFill="1"/>
    <xf numFmtId="3" fontId="0" fillId="4" borderId="4" xfId="0" applyNumberFormat="1" applyFill="1" applyBorder="1"/>
    <xf numFmtId="0" fontId="0" fillId="4" borderId="0" xfId="0" applyFill="1" applyAlignment="1">
      <alignment horizontal="right"/>
    </xf>
    <xf numFmtId="0" fontId="0" fillId="4" borderId="0" xfId="0" applyFill="1" applyBorder="1"/>
    <xf numFmtId="38" fontId="0" fillId="4" borderId="2" xfId="0" applyNumberFormat="1" applyFill="1" applyBorder="1"/>
    <xf numFmtId="38" fontId="0" fillId="4" borderId="0" xfId="0" applyNumberFormat="1" applyFill="1" applyBorder="1"/>
    <xf numFmtId="0" fontId="0" fillId="4" borderId="0" xfId="0" quotePrefix="1" applyFill="1"/>
    <xf numFmtId="17" fontId="0" fillId="4" borderId="0" xfId="0" quotePrefix="1" applyNumberFormat="1" applyFill="1"/>
    <xf numFmtId="0" fontId="0" fillId="0" borderId="0" xfId="0" applyBorder="1" applyAlignment="1">
      <alignment wrapText="1"/>
    </xf>
    <xf numFmtId="9" fontId="10" fillId="4" borderId="0" xfId="4" applyFont="1" applyFill="1"/>
    <xf numFmtId="0" fontId="26" fillId="0" borderId="0" xfId="0" applyFont="1" applyAlignment="1">
      <alignment wrapText="1"/>
    </xf>
    <xf numFmtId="0" fontId="23" fillId="0" borderId="0" xfId="0" applyFont="1" applyAlignment="1">
      <alignment wrapText="1"/>
    </xf>
    <xf numFmtId="0" fontId="20" fillId="3" borderId="7" xfId="0" applyFont="1" applyFill="1" applyBorder="1" applyProtection="1"/>
    <xf numFmtId="0" fontId="20" fillId="3" borderId="12" xfId="0" applyFont="1" applyFill="1" applyBorder="1" applyProtection="1"/>
    <xf numFmtId="0" fontId="20" fillId="5" borderId="10" xfId="0" applyFont="1" applyFill="1" applyBorder="1" applyAlignment="1" applyProtection="1">
      <alignment vertical="center"/>
    </xf>
    <xf numFmtId="0" fontId="31" fillId="5" borderId="11" xfId="0" applyFont="1" applyFill="1" applyBorder="1" applyAlignment="1" applyProtection="1">
      <alignment vertical="center"/>
    </xf>
    <xf numFmtId="0" fontId="20" fillId="5" borderId="7" xfId="0" applyFont="1" applyFill="1" applyBorder="1" applyAlignment="1" applyProtection="1">
      <alignment vertical="center"/>
    </xf>
    <xf numFmtId="0" fontId="35" fillId="0" borderId="7" xfId="0" applyFont="1" applyBorder="1" applyAlignment="1" applyProtection="1">
      <alignment vertical="top"/>
    </xf>
    <xf numFmtId="0" fontId="34" fillId="3" borderId="7" xfId="0" applyFont="1" applyFill="1" applyBorder="1" applyProtection="1"/>
    <xf numFmtId="0" fontId="35" fillId="0" borderId="7" xfId="0" applyFont="1" applyBorder="1" applyProtection="1"/>
    <xf numFmtId="0" fontId="11" fillId="5" borderId="0" xfId="0" applyFont="1" applyFill="1" applyAlignment="1">
      <alignment wrapText="1"/>
    </xf>
    <xf numFmtId="0" fontId="18" fillId="5" borderId="0" xfId="0" applyFont="1" applyFill="1" applyAlignment="1">
      <alignment wrapText="1"/>
    </xf>
    <xf numFmtId="0" fontId="17" fillId="5" borderId="5" xfId="0" applyFont="1" applyFill="1" applyBorder="1" applyAlignment="1">
      <alignment wrapText="1"/>
    </xf>
    <xf numFmtId="0" fontId="17" fillId="5" borderId="0" xfId="0" applyFont="1" applyFill="1" applyAlignment="1">
      <alignment wrapText="1"/>
    </xf>
    <xf numFmtId="0" fontId="36" fillId="0" borderId="0" xfId="0" applyFont="1" applyAlignment="1">
      <alignment horizontal="center" vertical="center"/>
    </xf>
    <xf numFmtId="0" fontId="36" fillId="0" borderId="0" xfId="0" applyFont="1" applyFill="1" applyAlignment="1">
      <alignment horizontal="center" vertical="center"/>
    </xf>
    <xf numFmtId="0" fontId="36" fillId="0" borderId="0" xfId="0" applyFont="1" applyFill="1" applyBorder="1" applyAlignment="1">
      <alignment horizontal="center" vertical="center"/>
    </xf>
    <xf numFmtId="0" fontId="0" fillId="3" borderId="0" xfId="0" applyFill="1"/>
    <xf numFmtId="0" fontId="30" fillId="5" borderId="0" xfId="0" applyFont="1" applyFill="1" applyAlignment="1">
      <alignment wrapText="1"/>
    </xf>
    <xf numFmtId="164" fontId="10" fillId="6" borderId="6" xfId="1" applyNumberFormat="1" applyFont="1" applyFill="1" applyBorder="1"/>
    <xf numFmtId="43" fontId="10" fillId="6" borderId="6" xfId="1" applyFont="1" applyFill="1" applyBorder="1"/>
    <xf numFmtId="0" fontId="17" fillId="5" borderId="13" xfId="0" applyFont="1" applyFill="1" applyBorder="1" applyAlignment="1">
      <alignment wrapText="1"/>
    </xf>
    <xf numFmtId="0" fontId="23" fillId="0" borderId="6" xfId="0" applyFont="1" applyBorder="1" applyAlignment="1">
      <alignment wrapText="1"/>
    </xf>
    <xf numFmtId="41" fontId="14" fillId="0" borderId="14" xfId="0" applyNumberFormat="1" applyFont="1" applyBorder="1"/>
    <xf numFmtId="41" fontId="3" fillId="0" borderId="15" xfId="1" applyNumberFormat="1" applyFont="1" applyBorder="1"/>
    <xf numFmtId="41" fontId="0" fillId="0" borderId="14" xfId="0" applyNumberFormat="1" applyBorder="1"/>
    <xf numFmtId="0" fontId="0" fillId="0" borderId="14" xfId="0" applyBorder="1"/>
    <xf numFmtId="164" fontId="3" fillId="0" borderId="15" xfId="1" applyNumberFormat="1" applyFont="1" applyBorder="1"/>
    <xf numFmtId="0" fontId="0" fillId="0" borderId="15" xfId="0" applyBorder="1"/>
    <xf numFmtId="0" fontId="0" fillId="0" borderId="14" xfId="0" applyFont="1" applyFill="1" applyBorder="1"/>
    <xf numFmtId="0" fontId="0" fillId="0" borderId="14" xfId="0" applyFill="1" applyBorder="1"/>
    <xf numFmtId="0" fontId="5" fillId="0" borderId="14" xfId="0" applyFont="1" applyBorder="1"/>
    <xf numFmtId="164" fontId="0" fillId="0" borderId="0" xfId="0" applyNumberFormat="1" applyBorder="1"/>
    <xf numFmtId="164" fontId="0" fillId="0" borderId="15" xfId="0" applyNumberFormat="1" applyBorder="1"/>
    <xf numFmtId="9" fontId="3" fillId="0" borderId="0" xfId="4" applyFont="1" applyBorder="1"/>
    <xf numFmtId="0" fontId="5" fillId="0" borderId="16" xfId="0" applyFont="1" applyBorder="1"/>
    <xf numFmtId="6" fontId="5" fillId="0" borderId="17" xfId="0" applyNumberFormat="1" applyFont="1" applyBorder="1" applyAlignment="1">
      <alignment horizontal="center"/>
    </xf>
    <xf numFmtId="0" fontId="0" fillId="0" borderId="17" xfId="0" applyBorder="1"/>
    <xf numFmtId="0" fontId="0" fillId="0" borderId="18" xfId="0" applyBorder="1"/>
    <xf numFmtId="41" fontId="14" fillId="0" borderId="19" xfId="0" applyNumberFormat="1" applyFont="1" applyBorder="1"/>
    <xf numFmtId="41" fontId="3" fillId="0" borderId="20" xfId="1" applyNumberFormat="1" applyFont="1" applyBorder="1"/>
    <xf numFmtId="41" fontId="0" fillId="0" borderId="19" xfId="0" applyNumberFormat="1" applyBorder="1"/>
    <xf numFmtId="41" fontId="3" fillId="0" borderId="0" xfId="4" applyNumberFormat="1" applyFont="1" applyBorder="1"/>
    <xf numFmtId="41" fontId="3" fillId="0" borderId="20" xfId="4" applyNumberFormat="1" applyFont="1" applyBorder="1"/>
    <xf numFmtId="164" fontId="3" fillId="0" borderId="20" xfId="1" applyNumberFormat="1" applyFont="1" applyBorder="1"/>
    <xf numFmtId="0" fontId="18" fillId="5" borderId="24" xfId="0" applyFont="1" applyFill="1" applyBorder="1"/>
    <xf numFmtId="0" fontId="18" fillId="5" borderId="25" xfId="0" applyFont="1" applyFill="1" applyBorder="1"/>
    <xf numFmtId="0" fontId="18" fillId="5" borderId="25" xfId="0" applyFont="1" applyFill="1" applyBorder="1" applyAlignment="1">
      <alignment horizontal="right"/>
    </xf>
    <xf numFmtId="0" fontId="18" fillId="5" borderId="25" xfId="0" applyFont="1" applyFill="1" applyBorder="1" applyAlignment="1">
      <alignment horizontal="center"/>
    </xf>
    <xf numFmtId="0" fontId="18" fillId="5" borderId="26" xfId="0" applyFont="1" applyFill="1" applyBorder="1" applyAlignment="1">
      <alignment horizontal="center"/>
    </xf>
    <xf numFmtId="0" fontId="30" fillId="5" borderId="25" xfId="0" applyFont="1" applyFill="1" applyBorder="1"/>
    <xf numFmtId="164" fontId="40" fillId="5" borderId="25" xfId="1" applyNumberFormat="1" applyFont="1" applyFill="1" applyBorder="1"/>
    <xf numFmtId="164" fontId="40" fillId="5" borderId="26" xfId="1" applyNumberFormat="1" applyFont="1" applyFill="1" applyBorder="1"/>
    <xf numFmtId="0" fontId="0" fillId="0" borderId="22" xfId="0" applyBorder="1"/>
    <xf numFmtId="164" fontId="0" fillId="0" borderId="22" xfId="0" applyNumberFormat="1" applyBorder="1"/>
    <xf numFmtId="9" fontId="6" fillId="0" borderId="22" xfId="4" applyFont="1" applyBorder="1"/>
    <xf numFmtId="0" fontId="18" fillId="5" borderId="27" xfId="0" applyFont="1" applyFill="1" applyBorder="1"/>
    <xf numFmtId="0" fontId="18" fillId="5" borderId="28" xfId="0" applyFont="1" applyFill="1" applyBorder="1"/>
    <xf numFmtId="0" fontId="18" fillId="5" borderId="28" xfId="0" applyFont="1" applyFill="1" applyBorder="1" applyAlignment="1">
      <alignment horizontal="center"/>
    </xf>
    <xf numFmtId="0" fontId="18" fillId="5" borderId="29" xfId="0" applyFont="1" applyFill="1" applyBorder="1" applyAlignment="1">
      <alignment horizontal="center"/>
    </xf>
    <xf numFmtId="41" fontId="14" fillId="0" borderId="27" xfId="0" applyNumberFormat="1" applyFont="1" applyBorder="1"/>
    <xf numFmtId="41" fontId="0" fillId="0" borderId="28" xfId="0" applyNumberFormat="1" applyBorder="1"/>
    <xf numFmtId="41" fontId="3" fillId="0" borderId="28" xfId="1" applyNumberFormat="1" applyFont="1" applyBorder="1"/>
    <xf numFmtId="41" fontId="3" fillId="0" borderId="29" xfId="1" applyNumberFormat="1" applyFont="1" applyBorder="1"/>
    <xf numFmtId="0" fontId="0" fillId="0" borderId="19" xfId="0" applyBorder="1"/>
    <xf numFmtId="0" fontId="0" fillId="0" borderId="20" xfId="0" applyBorder="1"/>
    <xf numFmtId="0" fontId="0" fillId="0" borderId="19" xfId="0" applyFont="1" applyFill="1" applyBorder="1"/>
    <xf numFmtId="164" fontId="3" fillId="0" borderId="0" xfId="1" applyNumberFormat="1" applyFont="1" applyFill="1" applyBorder="1"/>
    <xf numFmtId="164" fontId="3" fillId="0" borderId="20" xfId="1" applyNumberFormat="1" applyFont="1" applyFill="1" applyBorder="1"/>
    <xf numFmtId="0" fontId="0" fillId="0" borderId="19" xfId="0" applyFill="1" applyBorder="1"/>
    <xf numFmtId="164" fontId="2" fillId="0" borderId="20" xfId="1" applyNumberFormat="1" applyFont="1" applyFill="1" applyBorder="1"/>
    <xf numFmtId="0" fontId="5" fillId="0" borderId="19" xfId="0" applyFont="1" applyBorder="1"/>
    <xf numFmtId="164" fontId="0" fillId="0" borderId="20" xfId="0" applyNumberFormat="1" applyBorder="1"/>
    <xf numFmtId="0" fontId="0" fillId="0" borderId="21" xfId="0" applyBorder="1"/>
    <xf numFmtId="9" fontId="6" fillId="0" borderId="23" xfId="4" applyFont="1" applyBorder="1"/>
    <xf numFmtId="0" fontId="5" fillId="0" borderId="21" xfId="0" applyFont="1" applyBorder="1"/>
    <xf numFmtId="6" fontId="5" fillId="0" borderId="22" xfId="0" applyNumberFormat="1" applyFont="1" applyBorder="1" applyAlignment="1">
      <alignment horizontal="center"/>
    </xf>
    <xf numFmtId="0" fontId="0" fillId="0" borderId="23" xfId="0" applyBorder="1"/>
    <xf numFmtId="41" fontId="0" fillId="0" borderId="0" xfId="0" applyNumberFormat="1" applyFont="1" applyBorder="1"/>
    <xf numFmtId="0" fontId="5" fillId="7" borderId="30" xfId="0" applyFont="1" applyFill="1" applyBorder="1"/>
    <xf numFmtId="0" fontId="0" fillId="7" borderId="1" xfId="0" applyFill="1" applyBorder="1"/>
    <xf numFmtId="0" fontId="8" fillId="7" borderId="0" xfId="0" applyFont="1" applyFill="1" applyBorder="1"/>
    <xf numFmtId="0" fontId="23" fillId="7" borderId="0" xfId="0" applyFont="1" applyFill="1" applyBorder="1"/>
    <xf numFmtId="41" fontId="0" fillId="0" borderId="27" xfId="0" applyNumberFormat="1" applyBorder="1" applyAlignment="1">
      <alignment horizontal="left" vertical="center" wrapText="1"/>
    </xf>
    <xf numFmtId="41" fontId="0" fillId="0" borderId="19" xfId="0" applyNumberFormat="1" applyBorder="1" applyAlignment="1">
      <alignment horizontal="left" vertical="center" wrapText="1"/>
    </xf>
    <xf numFmtId="41" fontId="0" fillId="0" borderId="35" xfId="0" applyNumberFormat="1" applyBorder="1" applyAlignment="1">
      <alignment horizontal="left" vertical="center" wrapText="1"/>
    </xf>
    <xf numFmtId="41" fontId="0" fillId="0" borderId="31" xfId="0" applyNumberFormat="1" applyBorder="1" applyAlignment="1">
      <alignment horizontal="left" vertical="center" wrapText="1"/>
    </xf>
    <xf numFmtId="0" fontId="0" fillId="0" borderId="37" xfId="0" applyBorder="1" applyAlignment="1">
      <alignment horizontal="left" vertical="top" wrapText="1"/>
    </xf>
    <xf numFmtId="0" fontId="23" fillId="0" borderId="37" xfId="0" applyNumberFormat="1" applyFont="1" applyBorder="1" applyAlignment="1">
      <alignment horizontal="left" vertical="top" wrapText="1"/>
    </xf>
    <xf numFmtId="0" fontId="23" fillId="0" borderId="39" xfId="0" applyNumberFormat="1" applyFont="1" applyBorder="1" applyAlignment="1">
      <alignment horizontal="left" vertical="top" wrapText="1"/>
    </xf>
    <xf numFmtId="41" fontId="41" fillId="5" borderId="40" xfId="0" applyNumberFormat="1" applyFont="1" applyFill="1" applyBorder="1" applyAlignment="1">
      <alignment horizontal="center" vertical="center" wrapText="1"/>
    </xf>
    <xf numFmtId="0" fontId="41" fillId="5" borderId="40" xfId="0" applyNumberFormat="1" applyFont="1" applyFill="1" applyBorder="1" applyAlignment="1">
      <alignment horizontal="center" vertical="top" wrapText="1"/>
    </xf>
    <xf numFmtId="0" fontId="0" fillId="0" borderId="41" xfId="0" applyBorder="1" applyAlignment="1">
      <alignment horizontal="left" vertical="top" wrapText="1"/>
    </xf>
    <xf numFmtId="0" fontId="41" fillId="5" borderId="40" xfId="0" applyFont="1" applyFill="1" applyBorder="1" applyAlignment="1">
      <alignment horizontal="center" vertical="top" wrapText="1"/>
    </xf>
    <xf numFmtId="0" fontId="23" fillId="0" borderId="41" xfId="0" applyNumberFormat="1" applyFont="1" applyBorder="1" applyAlignment="1">
      <alignment horizontal="left" vertical="top" wrapText="1"/>
    </xf>
    <xf numFmtId="41" fontId="0" fillId="0" borderId="42" xfId="0" applyNumberFormat="1" applyBorder="1" applyAlignment="1">
      <alignment horizontal="left" vertical="center" wrapText="1"/>
    </xf>
    <xf numFmtId="0" fontId="38" fillId="5" borderId="40" xfId="0" applyFont="1" applyFill="1" applyBorder="1" applyAlignment="1">
      <alignment horizontal="center" vertical="center" wrapText="1"/>
    </xf>
    <xf numFmtId="0" fontId="23" fillId="0" borderId="37" xfId="0" applyNumberFormat="1" applyFont="1" applyFill="1" applyBorder="1" applyAlignment="1">
      <alignment horizontal="left" vertical="top" wrapText="1"/>
    </xf>
    <xf numFmtId="41" fontId="0" fillId="0" borderId="43" xfId="0" applyNumberFormat="1" applyBorder="1" applyAlignment="1">
      <alignment horizontal="left" vertical="center" wrapText="1"/>
    </xf>
    <xf numFmtId="0" fontId="0" fillId="0" borderId="20" xfId="0" applyBorder="1" applyAlignment="1">
      <alignment horizontal="left" vertical="top" wrapText="1"/>
    </xf>
    <xf numFmtId="0" fontId="23" fillId="0" borderId="34" xfId="0" applyNumberFormat="1" applyFont="1" applyBorder="1" applyAlignment="1">
      <alignment horizontal="left" vertical="top" wrapText="1"/>
    </xf>
    <xf numFmtId="0" fontId="23" fillId="0" borderId="35" xfId="0" applyNumberFormat="1" applyFont="1" applyFill="1" applyBorder="1" applyAlignment="1">
      <alignment horizontal="left" vertical="top" wrapText="1"/>
    </xf>
    <xf numFmtId="0" fontId="23" fillId="0" borderId="31" xfId="0" applyNumberFormat="1" applyFont="1" applyBorder="1" applyAlignment="1">
      <alignment horizontal="left" vertical="top" wrapText="1"/>
    </xf>
    <xf numFmtId="0" fontId="0" fillId="0" borderId="31" xfId="0" applyFill="1" applyBorder="1" applyAlignment="1">
      <alignment horizontal="left" vertical="top" wrapText="1"/>
    </xf>
    <xf numFmtId="0" fontId="9" fillId="0" borderId="31" xfId="0" applyFont="1" applyFill="1" applyBorder="1" applyAlignment="1">
      <alignment horizontal="left" vertical="top" wrapText="1"/>
    </xf>
    <xf numFmtId="41" fontId="0" fillId="0" borderId="43" xfId="0" applyNumberFormat="1" applyFill="1" applyBorder="1" applyAlignment="1">
      <alignment horizontal="left" vertical="center" wrapText="1"/>
    </xf>
    <xf numFmtId="0" fontId="23" fillId="0" borderId="31" xfId="0" applyNumberFormat="1" applyFont="1" applyFill="1" applyBorder="1" applyAlignment="1">
      <alignment horizontal="left" vertical="top" wrapText="1"/>
    </xf>
    <xf numFmtId="0" fontId="0" fillId="0" borderId="31" xfId="0" applyBorder="1" applyAlignment="1">
      <alignment horizontal="left" vertical="top" wrapText="1"/>
    </xf>
    <xf numFmtId="0" fontId="23" fillId="0" borderId="42" xfId="0" applyNumberFormat="1" applyFont="1" applyBorder="1" applyAlignment="1">
      <alignment horizontal="left" vertical="top" wrapText="1"/>
    </xf>
    <xf numFmtId="0" fontId="23" fillId="0" borderId="41" xfId="0" applyNumberFormat="1" applyFont="1" applyFill="1" applyBorder="1" applyAlignment="1">
      <alignment horizontal="left" vertical="top" wrapText="1"/>
    </xf>
    <xf numFmtId="0" fontId="0" fillId="0" borderId="44"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35" xfId="0" applyBorder="1" applyAlignment="1">
      <alignment horizontal="left" vertical="top" wrapText="1"/>
    </xf>
    <xf numFmtId="0" fontId="0" fillId="0" borderId="34" xfId="0" applyFill="1" applyBorder="1" applyAlignment="1">
      <alignment horizontal="left" vertical="top" wrapText="1"/>
    </xf>
    <xf numFmtId="0" fontId="0" fillId="0" borderId="35" xfId="0" applyFill="1" applyBorder="1" applyAlignment="1">
      <alignment horizontal="left" vertical="top" wrapText="1"/>
    </xf>
    <xf numFmtId="0" fontId="23" fillId="0" borderId="0" xfId="0" applyNumberFormat="1" applyFont="1" applyFill="1" applyBorder="1" applyAlignment="1">
      <alignment horizontal="left" vertical="top" wrapText="1"/>
    </xf>
    <xf numFmtId="0" fontId="23" fillId="0" borderId="45" xfId="0" applyNumberFormat="1" applyFont="1" applyFill="1" applyBorder="1" applyAlignment="1">
      <alignment horizontal="left" vertical="top" wrapText="1"/>
    </xf>
    <xf numFmtId="0" fontId="0" fillId="0" borderId="46" xfId="0" applyFill="1" applyBorder="1" applyAlignment="1">
      <alignment horizontal="left" vertical="center" wrapText="1"/>
    </xf>
    <xf numFmtId="0" fontId="0" fillId="0" borderId="33" xfId="0" applyFill="1" applyBorder="1" applyAlignment="1">
      <alignment horizontal="left" vertical="center" wrapText="1"/>
    </xf>
    <xf numFmtId="0" fontId="0" fillId="0" borderId="36" xfId="0" applyFill="1" applyBorder="1" applyAlignment="1">
      <alignment horizontal="left" vertical="center" wrapText="1"/>
    </xf>
    <xf numFmtId="0" fontId="0" fillId="0" borderId="35" xfId="0" applyFill="1" applyBorder="1" applyAlignment="1">
      <alignment horizontal="left" vertical="center" wrapText="1"/>
    </xf>
    <xf numFmtId="41" fontId="0" fillId="0" borderId="48" xfId="0" applyNumberFormat="1" applyBorder="1" applyAlignment="1">
      <alignment horizontal="left" vertical="center" wrapText="1"/>
    </xf>
    <xf numFmtId="0" fontId="23" fillId="0" borderId="35" xfId="0" applyNumberFormat="1" applyFont="1" applyBorder="1" applyAlignment="1">
      <alignment horizontal="left" vertical="top" wrapText="1"/>
    </xf>
    <xf numFmtId="41" fontId="41" fillId="5" borderId="47" xfId="0" applyNumberFormat="1" applyFont="1" applyFill="1" applyBorder="1" applyAlignment="1">
      <alignment horizontal="center" vertical="center" wrapText="1"/>
    </xf>
    <xf numFmtId="0" fontId="41" fillId="5" borderId="47" xfId="0" applyNumberFormat="1" applyFont="1" applyFill="1" applyBorder="1" applyAlignment="1">
      <alignment horizontal="center" vertical="top" wrapText="1"/>
    </xf>
    <xf numFmtId="0" fontId="41" fillId="5" borderId="47" xfId="0" applyFont="1" applyFill="1" applyBorder="1" applyAlignment="1">
      <alignment horizontal="center" vertical="top" wrapText="1"/>
    </xf>
    <xf numFmtId="0" fontId="18" fillId="5" borderId="43" xfId="0" applyFont="1" applyFill="1" applyBorder="1"/>
    <xf numFmtId="0" fontId="30" fillId="5" borderId="49" xfId="0" applyFont="1" applyFill="1" applyBorder="1"/>
    <xf numFmtId="164" fontId="40" fillId="5" borderId="49" xfId="1" applyNumberFormat="1" applyFont="1" applyFill="1" applyBorder="1"/>
    <xf numFmtId="164" fontId="40" fillId="5" borderId="37" xfId="1" applyNumberFormat="1" applyFont="1" applyFill="1" applyBorder="1"/>
    <xf numFmtId="0" fontId="18" fillId="5" borderId="49" xfId="0" applyFont="1" applyFill="1" applyBorder="1"/>
    <xf numFmtId="0" fontId="18" fillId="5" borderId="49" xfId="0" applyFont="1" applyFill="1" applyBorder="1" applyAlignment="1">
      <alignment horizontal="right"/>
    </xf>
    <xf numFmtId="0" fontId="18" fillId="5" borderId="49" xfId="0" applyFont="1" applyFill="1" applyBorder="1" applyAlignment="1">
      <alignment horizontal="center"/>
    </xf>
    <xf numFmtId="0" fontId="18" fillId="5" borderId="37" xfId="0" applyFont="1" applyFill="1" applyBorder="1" applyAlignment="1">
      <alignment horizontal="center"/>
    </xf>
    <xf numFmtId="0" fontId="23" fillId="0" borderId="43" xfId="0" applyFont="1" applyBorder="1" applyAlignment="1">
      <alignment wrapText="1"/>
    </xf>
    <xf numFmtId="0" fontId="23" fillId="0" borderId="48" xfId="0" applyFont="1" applyBorder="1" applyAlignment="1">
      <alignment wrapText="1"/>
    </xf>
    <xf numFmtId="0" fontId="23" fillId="6" borderId="31" xfId="0" applyFont="1" applyFill="1" applyBorder="1"/>
    <xf numFmtId="167" fontId="23" fillId="6" borderId="35" xfId="0" applyNumberFormat="1" applyFont="1" applyFill="1" applyBorder="1"/>
    <xf numFmtId="0" fontId="23" fillId="0" borderId="31" xfId="0" applyFont="1" applyBorder="1" applyAlignment="1">
      <alignment wrapText="1"/>
    </xf>
    <xf numFmtId="164" fontId="10" fillId="6" borderId="37" xfId="1" applyNumberFormat="1" applyFont="1" applyFill="1" applyBorder="1"/>
    <xf numFmtId="9" fontId="0" fillId="6" borderId="37" xfId="0" applyNumberFormat="1" applyFill="1" applyBorder="1"/>
    <xf numFmtId="43" fontId="10" fillId="6" borderId="37" xfId="1" applyFont="1" applyFill="1" applyBorder="1"/>
    <xf numFmtId="0" fontId="23" fillId="0" borderId="42" xfId="0" applyFont="1" applyBorder="1" applyAlignment="1">
      <alignment wrapText="1"/>
    </xf>
    <xf numFmtId="164" fontId="10" fillId="6" borderId="41" xfId="1" applyNumberFormat="1" applyFont="1" applyFill="1" applyBorder="1"/>
    <xf numFmtId="0" fontId="23" fillId="0" borderId="35" xfId="0" applyFont="1" applyBorder="1" applyAlignment="1">
      <alignment wrapText="1"/>
    </xf>
    <xf numFmtId="9" fontId="0" fillId="6" borderId="39" xfId="0" applyNumberFormat="1" applyFill="1" applyBorder="1"/>
    <xf numFmtId="0" fontId="23" fillId="0" borderId="31" xfId="0" applyFont="1" applyFill="1" applyBorder="1" applyAlignment="1">
      <alignment wrapText="1"/>
    </xf>
    <xf numFmtId="0" fontId="23" fillId="0" borderId="35" xfId="0" applyFont="1" applyFill="1" applyBorder="1" applyAlignment="1">
      <alignment wrapText="1"/>
    </xf>
    <xf numFmtId="164" fontId="10" fillId="6" borderId="39" xfId="1" applyNumberFormat="1" applyFont="1" applyFill="1" applyBorder="1"/>
    <xf numFmtId="0" fontId="0" fillId="0" borderId="49" xfId="0" applyBorder="1" applyAlignment="1">
      <alignment wrapText="1"/>
    </xf>
    <xf numFmtId="0" fontId="23" fillId="0" borderId="49" xfId="0" applyFont="1" applyBorder="1" applyAlignment="1">
      <alignment wrapText="1"/>
    </xf>
    <xf numFmtId="0" fontId="23" fillId="0" borderId="39" xfId="0" applyFont="1" applyBorder="1" applyAlignment="1">
      <alignment wrapText="1"/>
    </xf>
    <xf numFmtId="0" fontId="36" fillId="0" borderId="41" xfId="0" applyFont="1" applyBorder="1" applyAlignment="1">
      <alignment horizontal="center" vertical="center"/>
    </xf>
    <xf numFmtId="164" fontId="10" fillId="6" borderId="31" xfId="1" applyNumberFormat="1" applyFont="1" applyFill="1" applyBorder="1"/>
    <xf numFmtId="0" fontId="0" fillId="0" borderId="31" xfId="0" applyBorder="1" applyAlignment="1">
      <alignment wrapText="1"/>
    </xf>
    <xf numFmtId="0" fontId="0" fillId="0" borderId="35" xfId="0" applyBorder="1" applyAlignment="1">
      <alignment wrapText="1"/>
    </xf>
    <xf numFmtId="166" fontId="2" fillId="6" borderId="37" xfId="2" applyNumberFormat="1" applyFont="1" applyFill="1" applyBorder="1"/>
    <xf numFmtId="9" fontId="10" fillId="6" borderId="37" xfId="4" applyFont="1" applyFill="1" applyBorder="1"/>
    <xf numFmtId="9" fontId="10" fillId="6" borderId="39" xfId="4" applyFont="1" applyFill="1" applyBorder="1"/>
    <xf numFmtId="0" fontId="23" fillId="0" borderId="51" xfId="0" applyFont="1" applyBorder="1" applyAlignment="1">
      <alignment wrapText="1"/>
    </xf>
    <xf numFmtId="9" fontId="0" fillId="6" borderId="8" xfId="0" applyNumberFormat="1" applyFill="1" applyBorder="1"/>
    <xf numFmtId="0" fontId="11" fillId="5" borderId="45" xfId="0" applyFont="1" applyFill="1" applyBorder="1" applyAlignment="1">
      <alignment wrapText="1"/>
    </xf>
    <xf numFmtId="0" fontId="0" fillId="0" borderId="45" xfId="0" applyBorder="1"/>
    <xf numFmtId="0" fontId="0" fillId="6" borderId="39" xfId="0" applyFill="1" applyBorder="1"/>
    <xf numFmtId="0" fontId="0" fillId="6" borderId="37" xfId="0" applyFill="1" applyBorder="1"/>
    <xf numFmtId="43" fontId="10" fillId="6" borderId="39" xfId="1" applyFont="1" applyFill="1" applyBorder="1"/>
    <xf numFmtId="0" fontId="0" fillId="0" borderId="31" xfId="0" applyFill="1" applyBorder="1" applyAlignment="1">
      <alignment wrapText="1"/>
    </xf>
    <xf numFmtId="0" fontId="23" fillId="0" borderId="34" xfId="0" applyFont="1" applyBorder="1" applyAlignment="1">
      <alignment wrapText="1"/>
    </xf>
    <xf numFmtId="164" fontId="10" fillId="6" borderId="38" xfId="1" applyNumberFormat="1" applyFont="1" applyFill="1" applyBorder="1"/>
    <xf numFmtId="9" fontId="0" fillId="6" borderId="41" xfId="0" applyNumberFormat="1" applyFill="1" applyBorder="1"/>
    <xf numFmtId="10" fontId="0" fillId="6" borderId="39" xfId="0" applyNumberFormat="1" applyFill="1" applyBorder="1"/>
    <xf numFmtId="0" fontId="11" fillId="5" borderId="9" xfId="0" applyFont="1" applyFill="1" applyBorder="1" applyAlignment="1">
      <alignment horizontal="center" vertical="center"/>
    </xf>
    <xf numFmtId="0" fontId="23" fillId="0" borderId="42" xfId="0" applyFont="1" applyBorder="1" applyAlignment="1" applyProtection="1">
      <alignment vertical="top"/>
    </xf>
    <xf numFmtId="0" fontId="1" fillId="0" borderId="42" xfId="0" applyFont="1" applyBorder="1" applyAlignment="1" applyProtection="1">
      <alignment vertical="top" wrapText="1"/>
    </xf>
    <xf numFmtId="0" fontId="20" fillId="3" borderId="42" xfId="0" applyFont="1" applyFill="1" applyBorder="1" applyProtection="1"/>
    <xf numFmtId="0" fontId="23" fillId="0" borderId="42" xfId="0" applyFont="1" applyBorder="1" applyAlignment="1" applyProtection="1">
      <alignment vertical="top" wrapText="1"/>
    </xf>
    <xf numFmtId="0" fontId="23" fillId="0" borderId="42" xfId="0" applyFont="1" applyBorder="1" applyAlignment="1" applyProtection="1">
      <alignment horizontal="left" vertical="top" wrapText="1" indent="5"/>
    </xf>
    <xf numFmtId="0" fontId="23" fillId="0" borderId="31" xfId="0" applyFont="1" applyBorder="1" applyAlignment="1" applyProtection="1">
      <alignment vertical="top" wrapText="1"/>
    </xf>
    <xf numFmtId="0" fontId="22" fillId="3" borderId="34" xfId="0" applyFont="1" applyFill="1" applyBorder="1" applyProtection="1"/>
    <xf numFmtId="0" fontId="23" fillId="0" borderId="35" xfId="0" applyFont="1" applyBorder="1" applyAlignment="1" applyProtection="1">
      <alignment horizontal="left" vertical="top" wrapText="1" indent="5"/>
    </xf>
    <xf numFmtId="0" fontId="31" fillId="5" borderId="39" xfId="0" applyFont="1" applyFill="1" applyBorder="1" applyAlignment="1" applyProtection="1">
      <alignment vertical="center"/>
    </xf>
    <xf numFmtId="0" fontId="20" fillId="3" borderId="52" xfId="0" applyFont="1" applyFill="1" applyBorder="1" applyProtection="1"/>
    <xf numFmtId="0" fontId="22" fillId="3" borderId="38" xfId="0" applyFont="1" applyFill="1" applyBorder="1" applyProtection="1"/>
    <xf numFmtId="0" fontId="18" fillId="5" borderId="50" xfId="0" applyFont="1" applyFill="1" applyBorder="1"/>
    <xf numFmtId="0" fontId="23" fillId="0" borderId="32" xfId="0" applyFont="1" applyBorder="1" applyAlignment="1" applyProtection="1">
      <alignment horizontal="left" vertical="top" wrapText="1"/>
    </xf>
    <xf numFmtId="0" fontId="23" fillId="0" borderId="41" xfId="0" applyFont="1" applyBorder="1" applyAlignment="1" applyProtection="1">
      <alignment horizontal="left" vertical="top" wrapText="1"/>
    </xf>
    <xf numFmtId="0" fontId="23" fillId="0" borderId="48" xfId="0" applyFont="1" applyBorder="1" applyAlignment="1" applyProtection="1">
      <alignment horizontal="left" vertical="top" wrapText="1"/>
    </xf>
    <xf numFmtId="0" fontId="23" fillId="0" borderId="39" xfId="0" applyFont="1" applyBorder="1" applyAlignment="1" applyProtection="1">
      <alignment horizontal="left" vertical="top" wrapText="1"/>
    </xf>
    <xf numFmtId="0" fontId="20" fillId="3" borderId="0" xfId="0" applyFont="1" applyFill="1" applyAlignment="1">
      <alignment horizontal="center" wrapText="1"/>
    </xf>
    <xf numFmtId="6" fontId="8" fillId="7" borderId="0" xfId="0" applyNumberFormat="1" applyFont="1" applyFill="1" applyBorder="1" applyAlignment="1">
      <alignment horizontal="center"/>
    </xf>
    <xf numFmtId="43" fontId="5" fillId="7" borderId="1" xfId="1" applyFont="1" applyFill="1" applyBorder="1" applyAlignment="1">
      <alignment horizontal="center"/>
    </xf>
    <xf numFmtId="43" fontId="5" fillId="7" borderId="3" xfId="1" applyFont="1" applyFill="1" applyBorder="1" applyAlignment="1">
      <alignment horizontal="center"/>
    </xf>
    <xf numFmtId="0" fontId="0" fillId="0" borderId="31" xfId="0" applyFont="1" applyBorder="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6DAD"/>
      <color rgb="FFD6EBBB"/>
      <color rgb="FF8CC63F"/>
      <color rgb="FFCDECFF"/>
      <color rgb="FFFFFFDD"/>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worksheet" Target="worksheets/sheet4.xml"/><Relationship Id="rId10"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074626865671684"/>
          <c:y val="1.4428412874583796E-2"/>
          <c:w val="0.84776119402985073"/>
          <c:h val="0.93451720310765618"/>
        </c:manualLayout>
      </c:layout>
      <c:lineChart>
        <c:grouping val="standard"/>
        <c:ser>
          <c:idx val="0"/>
          <c:order val="0"/>
          <c:spPr>
            <a:ln w="38100"/>
          </c:spPr>
          <c:marker>
            <c:symbol val="none"/>
          </c:marker>
          <c:cat>
            <c:strRef>
              <c:f>'Financial Analysis'!$E$18:$J$18</c:f>
              <c:strCache>
                <c:ptCount val="6"/>
                <c:pt idx="0">
                  <c:v>Upfront</c:v>
                </c:pt>
                <c:pt idx="1">
                  <c:v>Year 1</c:v>
                </c:pt>
                <c:pt idx="2">
                  <c:v>Year 2</c:v>
                </c:pt>
                <c:pt idx="3">
                  <c:v>Year 3</c:v>
                </c:pt>
                <c:pt idx="4">
                  <c:v>Year 4</c:v>
                </c:pt>
                <c:pt idx="5">
                  <c:v>Year 5</c:v>
                </c:pt>
              </c:strCache>
            </c:strRef>
          </c:cat>
          <c:val>
            <c:numRef>
              <c:f>'Financial Analysis'!$E$32:$J$32</c:f>
              <c:numCache>
                <c:formatCode>_(* #,##0_);_(* \(#,##0\);_(* "-"??_);_(@_)</c:formatCode>
                <c:ptCount val="6"/>
                <c:pt idx="0">
                  <c:v>0</c:v>
                </c:pt>
                <c:pt idx="1">
                  <c:v>0</c:v>
                </c:pt>
                <c:pt idx="2">
                  <c:v>0</c:v>
                </c:pt>
                <c:pt idx="3">
                  <c:v>0</c:v>
                </c:pt>
                <c:pt idx="4">
                  <c:v>0</c:v>
                </c:pt>
                <c:pt idx="5">
                  <c:v>0</c:v>
                </c:pt>
              </c:numCache>
            </c:numRef>
          </c:val>
        </c:ser>
        <c:marker val="1"/>
        <c:axId val="111901696"/>
        <c:axId val="111543040"/>
      </c:lineChart>
      <c:catAx>
        <c:axId val="111901696"/>
        <c:scaling>
          <c:orientation val="minMax"/>
        </c:scaling>
        <c:axPos val="b"/>
        <c:numFmt formatCode="General" sourceLinked="1"/>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111543040"/>
        <c:crosses val="autoZero"/>
        <c:auto val="1"/>
        <c:lblAlgn val="ctr"/>
        <c:lblOffset val="100"/>
      </c:catAx>
      <c:valAx>
        <c:axId val="111543040"/>
        <c:scaling>
          <c:orientation val="minMax"/>
        </c:scaling>
        <c:axPos val="l"/>
        <c:majorGridlines>
          <c:spPr>
            <a:ln>
              <a:solidFill>
                <a:schemeClr val="bg1">
                  <a:lumMod val="75000"/>
                </a:schemeClr>
              </a:solidFill>
              <a:prstDash val="dash"/>
            </a:ln>
          </c:spPr>
        </c:majorGridlines>
        <c:numFmt formatCode="_(* #,##0_);_(* \(#,##0\);_(* &quot;-&quot;??_);_(@_)" sourceLinked="1"/>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111901696"/>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75" workbookViewId="0"/>
  </sheetViews>
  <customSheetViews>
    <customSheetView guid="{A75B43E1-BD35-47D7-AB9E-90AB07D62701}" scale="75">
      <pageMargins left="0.7000000000000004" right="0.7000000000000004" top="0.75000000000000044" bottom="0.75000000000000044" header="0.30000000000000021" footer="0.30000000000000021"/>
      <pageSetup orientation="portrait" r:id="rId1"/>
      <headerFooter alignWithMargins="0"/>
    </customSheetView>
    <customSheetView guid="{86793643-04DF-41C7-A2C3-AD1B07D459CC}" scale="75">
      <pageMargins left="0.7000000000000004" right="0.7000000000000004" top="0.75000000000000044" bottom="0.75000000000000044" header="0.30000000000000021" footer="0.30000000000000021"/>
      <pageSetup orientation="portrait" r:id="rId2"/>
      <headerFooter alignWithMargins="0"/>
    </customSheetView>
  </customSheetViews>
  <pageMargins left="0.7000000000000004" right="0.7000000000000004" top="0.75000000000000044" bottom="0.75000000000000044" header="0.30000000000000021" footer="0.30000000000000021"/>
  <pageSetup orientation="portrait" r:id="rId3"/>
  <headerFooter alignWithMargins="0"/>
  <drawing r:id="rId4"/>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107577</xdr:colOff>
      <xdr:row>0</xdr:row>
      <xdr:rowOff>115795</xdr:rowOff>
    </xdr:from>
    <xdr:to>
      <xdr:col>1</xdr:col>
      <xdr:colOff>1809376</xdr:colOff>
      <xdr:row>0</xdr:row>
      <xdr:rowOff>1133255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07577" y="115795"/>
          <a:ext cx="2060387" cy="101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22409</xdr:colOff>
      <xdr:row>0</xdr:row>
      <xdr:rowOff>106674</xdr:rowOff>
    </xdr:from>
    <xdr:to>
      <xdr:col>1</xdr:col>
      <xdr:colOff>2092508</xdr:colOff>
      <xdr:row>0</xdr:row>
      <xdr:rowOff>1124134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336174" y="106674"/>
          <a:ext cx="2070099" cy="1017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6370320" cy="85420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67236</xdr:colOff>
      <xdr:row>0</xdr:row>
      <xdr:rowOff>112058</xdr:rowOff>
    </xdr:from>
    <xdr:to>
      <xdr:col>3</xdr:col>
      <xdr:colOff>527610</xdr:colOff>
      <xdr:row>0</xdr:row>
      <xdr:rowOff>1129518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7236" y="112058"/>
          <a:ext cx="2062815" cy="10174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84364</xdr:rowOff>
    </xdr:from>
    <xdr:to>
      <xdr:col>3</xdr:col>
      <xdr:colOff>548340</xdr:colOff>
      <xdr:row>0</xdr:row>
      <xdr:rowOff>1101824</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95250" y="84364"/>
          <a:ext cx="2072340" cy="10174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98051</xdr:colOff>
      <xdr:row>0</xdr:row>
      <xdr:rowOff>90208</xdr:rowOff>
    </xdr:from>
    <xdr:to>
      <xdr:col>1</xdr:col>
      <xdr:colOff>849778</xdr:colOff>
      <xdr:row>0</xdr:row>
      <xdr:rowOff>1107668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8051" y="90208"/>
          <a:ext cx="2066177" cy="10174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den/My%20Documents/My%20Dropbox/Budget/budget/budget/fy11%20mid%20year/FY11_T4MF_Consortium.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Named Ranges"/>
      <sheetName val="US Office"/>
      <sheetName val="Africa"/>
      <sheetName val="Americas"/>
      <sheetName val="Asia"/>
      <sheetName val="MENA"/>
      <sheetName val="GP Summary"/>
      <sheetName val="Consolidated Budget"/>
      <sheetName val="T4MF - US Books"/>
      <sheetName val="T4MF - PH Books"/>
      <sheetName val="T4MF - Total"/>
    </sheetNames>
    <sheetDataSet>
      <sheetData sheetId="0" refreshError="1"/>
      <sheetData sheetId="1">
        <row r="2">
          <cell r="A2" t="str">
            <v>Africa Region</v>
          </cell>
          <cell r="B2">
            <v>5000</v>
          </cell>
          <cell r="C2">
            <v>0</v>
          </cell>
          <cell r="D2">
            <v>0</v>
          </cell>
          <cell r="E2">
            <v>0</v>
          </cell>
        </row>
        <row r="3">
          <cell r="A3" t="str">
            <v>AppLab Uganda</v>
          </cell>
          <cell r="B3">
            <v>8410</v>
          </cell>
          <cell r="C3">
            <v>0</v>
          </cell>
          <cell r="D3">
            <v>0</v>
          </cell>
          <cell r="E3">
            <v>1</v>
          </cell>
        </row>
        <row r="4">
          <cell r="A4" t="str">
            <v>AppLab Indonesia</v>
          </cell>
          <cell r="B4">
            <v>8460</v>
          </cell>
          <cell r="C4">
            <v>0</v>
          </cell>
          <cell r="D4">
            <v>0</v>
          </cell>
          <cell r="E4">
            <v>1</v>
          </cell>
        </row>
        <row r="5">
          <cell r="A5" t="str">
            <v>Asia Region</v>
          </cell>
          <cell r="B5">
            <v>5000</v>
          </cell>
          <cell r="C5">
            <v>0</v>
          </cell>
          <cell r="D5">
            <v>0</v>
          </cell>
          <cell r="E5">
            <v>0</v>
          </cell>
        </row>
        <row r="6">
          <cell r="A6" t="str">
            <v>Bankers Without Borders</v>
          </cell>
          <cell r="B6">
            <v>6500</v>
          </cell>
          <cell r="C6">
            <v>0</v>
          </cell>
          <cell r="D6">
            <v>0</v>
          </cell>
          <cell r="E6">
            <v>0</v>
          </cell>
        </row>
        <row r="7">
          <cell r="A7" t="str">
            <v>CMAC Equity Products</v>
          </cell>
          <cell r="B7">
            <v>6130</v>
          </cell>
          <cell r="C7">
            <v>0</v>
          </cell>
          <cell r="D7">
            <v>0</v>
          </cell>
          <cell r="E7">
            <v>0</v>
          </cell>
        </row>
        <row r="8">
          <cell r="A8" t="str">
            <v>CMAC Growth Guarantee</v>
          </cell>
          <cell r="B8">
            <v>6120</v>
          </cell>
          <cell r="C8">
            <v>0</v>
          </cell>
          <cell r="D8">
            <v>0</v>
          </cell>
          <cell r="E8">
            <v>0</v>
          </cell>
        </row>
        <row r="9">
          <cell r="A9" t="str">
            <v>CMAC Pioneer Fund</v>
          </cell>
          <cell r="B9">
            <v>6140</v>
          </cell>
          <cell r="C9">
            <v>0</v>
          </cell>
          <cell r="D9">
            <v>0</v>
          </cell>
          <cell r="E9">
            <v>0</v>
          </cell>
        </row>
        <row r="10">
          <cell r="A10" t="str">
            <v>Community Knowledge Worker</v>
          </cell>
          <cell r="B10">
            <v>8440</v>
          </cell>
          <cell r="C10">
            <v>0</v>
          </cell>
          <cell r="D10">
            <v>0</v>
          </cell>
          <cell r="E10">
            <v>1</v>
          </cell>
        </row>
        <row r="11">
          <cell r="A11" t="str">
            <v>Indirects</v>
          </cell>
          <cell r="B11">
            <v>1210</v>
          </cell>
          <cell r="C11">
            <v>1</v>
          </cell>
          <cell r="D11">
            <v>1</v>
          </cell>
          <cell r="E11">
            <v>0</v>
          </cell>
        </row>
        <row r="12">
          <cell r="A12" t="str">
            <v>Development</v>
          </cell>
          <cell r="B12">
            <v>3100</v>
          </cell>
          <cell r="C12">
            <v>0</v>
          </cell>
          <cell r="D12">
            <v>1</v>
          </cell>
          <cell r="E12">
            <v>0</v>
          </cell>
        </row>
        <row r="13">
          <cell r="A13" t="str">
            <v>Executive Leadership</v>
          </cell>
          <cell r="B13">
            <v>7000</v>
          </cell>
          <cell r="C13">
            <v>0</v>
          </cell>
          <cell r="D13">
            <v>0</v>
          </cell>
          <cell r="E13">
            <v>0</v>
          </cell>
        </row>
        <row r="14">
          <cell r="A14" t="str">
            <v>Finance</v>
          </cell>
          <cell r="B14">
            <v>1100</v>
          </cell>
          <cell r="C14">
            <v>0</v>
          </cell>
          <cell r="D14">
            <v>1</v>
          </cell>
          <cell r="E14">
            <v>0</v>
          </cell>
        </row>
        <row r="15">
          <cell r="A15" t="str">
            <v>Fundraising</v>
          </cell>
          <cell r="B15">
            <v>3200</v>
          </cell>
          <cell r="C15">
            <v>0</v>
          </cell>
          <cell r="D15">
            <v>0</v>
          </cell>
          <cell r="E15">
            <v>0</v>
          </cell>
        </row>
        <row r="16">
          <cell r="A16" t="str">
            <v>Health Worker</v>
          </cell>
          <cell r="B16">
            <v>8450</v>
          </cell>
          <cell r="C16">
            <v>0</v>
          </cell>
          <cell r="D16">
            <v>0</v>
          </cell>
          <cell r="E16">
            <v>1</v>
          </cell>
        </row>
        <row r="17">
          <cell r="A17" t="str">
            <v>Human Capital Center</v>
          </cell>
          <cell r="B17">
            <v>6200</v>
          </cell>
          <cell r="C17">
            <v>0</v>
          </cell>
          <cell r="D17">
            <v>0</v>
          </cell>
          <cell r="E17">
            <v>0</v>
          </cell>
        </row>
        <row r="18">
          <cell r="A18" t="str">
            <v>Human Resources</v>
          </cell>
          <cell r="B18">
            <v>1400</v>
          </cell>
          <cell r="C18">
            <v>0</v>
          </cell>
          <cell r="D18">
            <v>1</v>
          </cell>
          <cell r="E18">
            <v>0</v>
          </cell>
        </row>
        <row r="19">
          <cell r="A19" t="str">
            <v>Latin America Region</v>
          </cell>
          <cell r="B19">
            <v>5000</v>
          </cell>
          <cell r="C19">
            <v>0</v>
          </cell>
          <cell r="D19">
            <v>0</v>
          </cell>
          <cell r="E19">
            <v>0</v>
          </cell>
        </row>
        <row r="20">
          <cell r="A20" t="str">
            <v>Legal</v>
          </cell>
          <cell r="B20">
            <v>2000</v>
          </cell>
          <cell r="C20">
            <v>0</v>
          </cell>
          <cell r="D20">
            <v>1</v>
          </cell>
          <cell r="E20">
            <v>0</v>
          </cell>
        </row>
        <row r="21">
          <cell r="A21" t="str">
            <v>Marketing</v>
          </cell>
          <cell r="B21">
            <v>3300</v>
          </cell>
          <cell r="C21">
            <v>0</v>
          </cell>
          <cell r="D21">
            <v>0</v>
          </cell>
          <cell r="E21">
            <v>0</v>
          </cell>
        </row>
        <row r="22">
          <cell r="A22" t="str">
            <v>MENA Region</v>
          </cell>
          <cell r="B22">
            <v>5000</v>
          </cell>
          <cell r="C22">
            <v>0</v>
          </cell>
          <cell r="D22">
            <v>0</v>
          </cell>
          <cell r="E22">
            <v>0</v>
          </cell>
        </row>
        <row r="23">
          <cell r="A23" t="str">
            <v>Microfranchising</v>
          </cell>
          <cell r="B23">
            <v>8960</v>
          </cell>
          <cell r="C23">
            <v>0</v>
          </cell>
          <cell r="D23">
            <v>0</v>
          </cell>
          <cell r="E23">
            <v>1</v>
          </cell>
        </row>
        <row r="24">
          <cell r="A24" t="str">
            <v>Microsavings</v>
          </cell>
          <cell r="B24">
            <v>6420</v>
          </cell>
          <cell r="C24">
            <v>0</v>
          </cell>
          <cell r="D24">
            <v>0</v>
          </cell>
          <cell r="E24">
            <v>0</v>
          </cell>
        </row>
        <row r="25">
          <cell r="A25" t="str">
            <v>Mobile Money</v>
          </cell>
          <cell r="B25">
            <v>8940</v>
          </cell>
          <cell r="C25">
            <v>0</v>
          </cell>
          <cell r="D25">
            <v>0</v>
          </cell>
          <cell r="E25">
            <v>1</v>
          </cell>
        </row>
        <row r="26">
          <cell r="A26" t="str">
            <v>Office of the President</v>
          </cell>
          <cell r="B26">
            <v>4000</v>
          </cell>
          <cell r="C26">
            <v>0</v>
          </cell>
          <cell r="D26">
            <v>1</v>
          </cell>
          <cell r="E26">
            <v>0</v>
          </cell>
        </row>
        <row r="27">
          <cell r="A27" t="str">
            <v>Operations</v>
          </cell>
          <cell r="B27">
            <v>1200</v>
          </cell>
          <cell r="C27">
            <v>0</v>
          </cell>
          <cell r="D27">
            <v>1</v>
          </cell>
          <cell r="E27">
            <v>0</v>
          </cell>
        </row>
        <row r="28">
          <cell r="A28" t="str">
            <v>President's Fund</v>
          </cell>
          <cell r="B28">
            <v>4100</v>
          </cell>
          <cell r="C28">
            <v>0</v>
          </cell>
          <cell r="D28">
            <v>0</v>
          </cell>
          <cell r="E28">
            <v>0</v>
          </cell>
        </row>
        <row r="29">
          <cell r="A29" t="str">
            <v>Reserve-Unrestricted</v>
          </cell>
          <cell r="B29">
            <v>1110</v>
          </cell>
          <cell r="C29">
            <v>0</v>
          </cell>
          <cell r="D29">
            <v>1</v>
          </cell>
          <cell r="E29">
            <v>0</v>
          </cell>
        </row>
        <row r="30">
          <cell r="A30" t="str">
            <v xml:space="preserve">Scholarship Program   </v>
          </cell>
          <cell r="B30">
            <v>3310</v>
          </cell>
          <cell r="C30">
            <v>0</v>
          </cell>
          <cell r="D30">
            <v>0</v>
          </cell>
          <cell r="E30">
            <v>0</v>
          </cell>
        </row>
        <row r="31">
          <cell r="A31" t="str">
            <v>Social Performance</v>
          </cell>
          <cell r="B31">
            <v>6300</v>
          </cell>
          <cell r="C31">
            <v>0</v>
          </cell>
          <cell r="D31">
            <v>0</v>
          </cell>
          <cell r="E31">
            <v>0</v>
          </cell>
        </row>
        <row r="32">
          <cell r="A32" t="str">
            <v>Solutions for the Poorest</v>
          </cell>
          <cell r="B32">
            <v>6400</v>
          </cell>
          <cell r="C32">
            <v>0</v>
          </cell>
          <cell r="D32">
            <v>0</v>
          </cell>
          <cell r="E32">
            <v>0</v>
          </cell>
        </row>
        <row r="33">
          <cell r="A33" t="str">
            <v>Strategic Plan Fund</v>
          </cell>
          <cell r="B33">
            <v>1120</v>
          </cell>
          <cell r="C33">
            <v>0</v>
          </cell>
          <cell r="D33">
            <v>1</v>
          </cell>
          <cell r="E33">
            <v>0</v>
          </cell>
        </row>
        <row r="34">
          <cell r="A34" t="str">
            <v>Strategy &amp; Research</v>
          </cell>
          <cell r="B34">
            <v>4200</v>
          </cell>
          <cell r="C34">
            <v>0</v>
          </cell>
          <cell r="D34">
            <v>0</v>
          </cell>
          <cell r="E34">
            <v>0</v>
          </cell>
        </row>
        <row r="35">
          <cell r="A35" t="str">
            <v>T4MF Consortium</v>
          </cell>
          <cell r="B35">
            <v>8120</v>
          </cell>
          <cell r="C35">
            <v>0</v>
          </cell>
          <cell r="D35">
            <v>0</v>
          </cell>
          <cell r="E35">
            <v>1</v>
          </cell>
        </row>
        <row r="36">
          <cell r="A36" t="str">
            <v>T4MF Cloud</v>
          </cell>
          <cell r="B36">
            <v>8130</v>
          </cell>
          <cell r="C36">
            <v>0</v>
          </cell>
          <cell r="D36">
            <v>0</v>
          </cell>
          <cell r="E36">
            <v>1</v>
          </cell>
        </row>
        <row r="37">
          <cell r="A37" t="str">
            <v>T4MF Tech Readiness</v>
          </cell>
          <cell r="B37">
            <v>8150</v>
          </cell>
          <cell r="C37">
            <v>0</v>
          </cell>
          <cell r="D37">
            <v>0</v>
          </cell>
          <cell r="E37">
            <v>1</v>
          </cell>
        </row>
        <row r="38">
          <cell r="A38" t="str">
            <v>Village Energy</v>
          </cell>
          <cell r="B38">
            <v>8710</v>
          </cell>
          <cell r="C38">
            <v>0</v>
          </cell>
          <cell r="D38">
            <v>0</v>
          </cell>
          <cell r="E38">
            <v>1</v>
          </cell>
        </row>
        <row r="39">
          <cell r="A39" t="str">
            <v>Village Phone</v>
          </cell>
          <cell r="B39">
            <v>8910</v>
          </cell>
          <cell r="C39">
            <v>0</v>
          </cell>
          <cell r="D39">
            <v>0</v>
          </cell>
          <cell r="E39">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F22"/>
  <sheetViews>
    <sheetView showGridLines="0" zoomScale="85" zoomScaleNormal="85" workbookViewId="0">
      <selection activeCell="B1" sqref="B1"/>
    </sheetView>
  </sheetViews>
  <sheetFormatPr defaultColWidth="9.140625" defaultRowHeight="12.75"/>
  <cols>
    <col min="1" max="1" width="5.42578125" style="37" customWidth="1"/>
    <col min="2" max="2" width="95.7109375" style="37" customWidth="1"/>
    <col min="3" max="3" width="2.140625" style="37" customWidth="1"/>
    <col min="4" max="4" width="36.85546875" style="37" bestFit="1" customWidth="1"/>
    <col min="5" max="16384" width="9.140625" style="37"/>
  </cols>
  <sheetData>
    <row r="1" spans="1:6" ht="98.25" customHeight="1">
      <c r="A1" s="40"/>
    </row>
    <row r="2" spans="1:6" s="38" customFormat="1" ht="27" customHeight="1">
      <c r="A2" s="71"/>
      <c r="B2" s="72" t="s">
        <v>176</v>
      </c>
      <c r="D2" s="39"/>
    </row>
    <row r="3" spans="1:6" ht="3.75" customHeight="1">
      <c r="A3" s="248"/>
      <c r="B3" s="249"/>
    </row>
    <row r="4" spans="1:6" ht="30.75" customHeight="1">
      <c r="A4" s="251" t="s">
        <v>223</v>
      </c>
      <c r="B4" s="252"/>
    </row>
    <row r="5" spans="1:6" ht="30.75" customHeight="1">
      <c r="A5" s="251"/>
      <c r="B5" s="252"/>
    </row>
    <row r="6" spans="1:6" ht="58.5" customHeight="1">
      <c r="A6" s="253"/>
      <c r="B6" s="254"/>
    </row>
    <row r="7" spans="1:6" s="38" customFormat="1" ht="27" customHeight="1">
      <c r="A7" s="73"/>
      <c r="B7" s="247" t="s">
        <v>222</v>
      </c>
      <c r="D7" s="39"/>
    </row>
    <row r="8" spans="1:6" ht="3.75" customHeight="1">
      <c r="A8" s="69"/>
      <c r="B8" s="245"/>
    </row>
    <row r="9" spans="1:6" ht="30">
      <c r="A9" s="74">
        <v>0</v>
      </c>
      <c r="B9" s="242" t="s">
        <v>224</v>
      </c>
    </row>
    <row r="10" spans="1:6" ht="8.1" customHeight="1">
      <c r="A10" s="75"/>
      <c r="B10" s="241"/>
    </row>
    <row r="11" spans="1:6" ht="45">
      <c r="A11" s="74">
        <v>1</v>
      </c>
      <c r="B11" s="242" t="s">
        <v>225</v>
      </c>
      <c r="D11" s="255"/>
    </row>
    <row r="12" spans="1:6" ht="8.1" customHeight="1">
      <c r="A12" s="76"/>
      <c r="B12" s="239"/>
      <c r="D12" s="255"/>
    </row>
    <row r="13" spans="1:6" ht="162.75" customHeight="1">
      <c r="A13" s="74">
        <v>2</v>
      </c>
      <c r="B13" s="240" t="s">
        <v>227</v>
      </c>
      <c r="D13" s="255"/>
      <c r="E13" s="40"/>
      <c r="F13" s="40"/>
    </row>
    <row r="14" spans="1:6" ht="8.1" customHeight="1">
      <c r="A14" s="75"/>
      <c r="B14" s="241"/>
      <c r="D14" s="255"/>
      <c r="E14" s="41"/>
      <c r="F14" s="40"/>
    </row>
    <row r="15" spans="1:6" ht="140.25" customHeight="1">
      <c r="A15" s="74">
        <v>3</v>
      </c>
      <c r="B15" s="240" t="s">
        <v>228</v>
      </c>
      <c r="D15" s="255"/>
      <c r="E15" s="42"/>
      <c r="F15" s="40"/>
    </row>
    <row r="16" spans="1:6" ht="8.1" customHeight="1">
      <c r="A16" s="75"/>
      <c r="B16" s="241"/>
      <c r="D16" s="42"/>
      <c r="E16" s="40"/>
      <c r="F16" s="40"/>
    </row>
    <row r="17" spans="1:6" ht="30">
      <c r="A17" s="74">
        <v>4</v>
      </c>
      <c r="B17" s="242" t="s">
        <v>226</v>
      </c>
      <c r="D17" s="43"/>
      <c r="E17" s="40"/>
      <c r="F17" s="40"/>
    </row>
    <row r="18" spans="1:6" ht="99" customHeight="1">
      <c r="A18" s="75"/>
      <c r="B18" s="243" t="s">
        <v>229</v>
      </c>
    </row>
    <row r="19" spans="1:6" ht="8.1" customHeight="1">
      <c r="A19" s="75"/>
      <c r="B19" s="241"/>
    </row>
    <row r="20" spans="1:6" ht="30">
      <c r="A20" s="74">
        <v>5</v>
      </c>
      <c r="B20" s="242" t="s">
        <v>230</v>
      </c>
      <c r="D20" s="43"/>
      <c r="E20" s="40"/>
      <c r="F20" s="40"/>
    </row>
    <row r="21" spans="1:6" ht="15">
      <c r="A21" s="70"/>
      <c r="B21" s="246"/>
    </row>
    <row r="22" spans="1:6" ht="30">
      <c r="A22" s="238" t="s">
        <v>175</v>
      </c>
      <c r="B22" s="244" t="s">
        <v>189</v>
      </c>
    </row>
  </sheetData>
  <customSheetViews>
    <customSheetView guid="{A75B43E1-BD35-47D7-AB9E-90AB07D62701}" scale="75" showGridLines="0">
      <selection activeCell="D6" sqref="D6"/>
      <pageMargins left="0.7" right="0.7" top="0.75" bottom="0.75" header="0.3" footer="0.3"/>
    </customSheetView>
    <customSheetView guid="{86793643-04DF-41C7-A2C3-AD1B07D459CC}" scale="75" showGridLines="0">
      <selection activeCell="D6" sqref="D6"/>
      <pageMargins left="0.7" right="0.7" top="0.75" bottom="0.75" header="0.3" footer="0.3"/>
    </customSheetView>
  </customSheetViews>
  <mergeCells count="2">
    <mergeCell ref="A4:B6"/>
    <mergeCell ref="D11:D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M165"/>
  <sheetViews>
    <sheetView showGridLines="0" zoomScale="85" zoomScaleNormal="85" workbookViewId="0">
      <selection activeCell="A128" sqref="A128"/>
    </sheetView>
  </sheetViews>
  <sheetFormatPr defaultRowHeight="15.75"/>
  <cols>
    <col min="1" max="1" width="4.7109375" style="81" bestFit="1" customWidth="1"/>
    <col min="2" max="2" width="69.140625" style="1" customWidth="1"/>
    <col min="3" max="3" width="16.140625" customWidth="1"/>
    <col min="4" max="4" width="3.42578125" style="25" customWidth="1"/>
    <col min="5" max="5" width="36.42578125" style="46" customWidth="1"/>
    <col min="6" max="6" width="15" style="45" bestFit="1" customWidth="1"/>
    <col min="7" max="7" width="16.140625" style="45" bestFit="1" customWidth="1"/>
    <col min="8" max="8" width="13.42578125" style="45" bestFit="1" customWidth="1"/>
    <col min="9" max="10" width="14.7109375" style="45" bestFit="1" customWidth="1"/>
    <col min="11" max="11" width="15" style="45" bestFit="1" customWidth="1"/>
    <col min="12" max="12" width="9.140625" style="46" customWidth="1"/>
  </cols>
  <sheetData>
    <row r="1" spans="1:12" ht="99.95" customHeight="1"/>
    <row r="2" spans="1:12" ht="18.75">
      <c r="B2" s="32" t="s">
        <v>190</v>
      </c>
      <c r="C2" s="26"/>
      <c r="E2" s="44" t="s">
        <v>152</v>
      </c>
    </row>
    <row r="3" spans="1:12">
      <c r="E3" s="46" t="s">
        <v>188</v>
      </c>
    </row>
    <row r="4" spans="1:12" ht="18.75">
      <c r="B4" s="77" t="s">
        <v>34</v>
      </c>
      <c r="C4" s="26"/>
      <c r="D4" s="27"/>
      <c r="E4" s="47"/>
    </row>
    <row r="5" spans="1:12">
      <c r="A5" s="81">
        <v>1</v>
      </c>
      <c r="B5" s="201" t="s">
        <v>131</v>
      </c>
      <c r="C5" s="203" t="s">
        <v>130</v>
      </c>
    </row>
    <row r="6" spans="1:12" ht="30">
      <c r="A6" s="81">
        <f>A5+1</f>
        <v>2</v>
      </c>
      <c r="B6" s="202" t="s">
        <v>242</v>
      </c>
      <c r="C6" s="204">
        <v>1</v>
      </c>
    </row>
    <row r="7" spans="1:12">
      <c r="F7" s="45" t="s">
        <v>62</v>
      </c>
      <c r="G7" s="45" t="s">
        <v>63</v>
      </c>
    </row>
    <row r="8" spans="1:12" ht="60">
      <c r="B8" s="78" t="s">
        <v>239</v>
      </c>
      <c r="F8" s="48" t="s">
        <v>21</v>
      </c>
      <c r="G8" s="48" t="s">
        <v>3</v>
      </c>
      <c r="H8" s="48" t="s">
        <v>4</v>
      </c>
      <c r="I8" s="48" t="s">
        <v>5</v>
      </c>
      <c r="J8" s="48" t="s">
        <v>6</v>
      </c>
      <c r="K8" s="48" t="s">
        <v>7</v>
      </c>
    </row>
    <row r="9" spans="1:12">
      <c r="A9" s="81">
        <f>A6+1</f>
        <v>3</v>
      </c>
      <c r="B9" s="205" t="s">
        <v>240</v>
      </c>
      <c r="C9" s="206">
        <v>0</v>
      </c>
      <c r="E9" s="46" t="s">
        <v>26</v>
      </c>
      <c r="F9" s="49">
        <f>C9</f>
        <v>0</v>
      </c>
      <c r="G9" s="49">
        <f>F9+F9*$C$10</f>
        <v>0</v>
      </c>
      <c r="H9" s="49">
        <f>G9+G9*$C$10</f>
        <v>0</v>
      </c>
      <c r="I9" s="49">
        <f>H9+H9*$C$10</f>
        <v>0</v>
      </c>
      <c r="J9" s="49">
        <f>I9+I9*$C$10</f>
        <v>0</v>
      </c>
      <c r="K9" s="49">
        <f>J9+J9*$C$10</f>
        <v>0</v>
      </c>
    </row>
    <row r="10" spans="1:12">
      <c r="A10" s="81">
        <f>A9+1</f>
        <v>4</v>
      </c>
      <c r="B10" s="205" t="s">
        <v>30</v>
      </c>
      <c r="C10" s="207">
        <v>0</v>
      </c>
      <c r="E10" s="46" t="s">
        <v>31</v>
      </c>
      <c r="F10" s="49">
        <f>C11</f>
        <v>0</v>
      </c>
      <c r="G10" s="49">
        <f>F10+F10*$C$12</f>
        <v>0</v>
      </c>
      <c r="H10" s="49">
        <f>G10+G10*$C$12</f>
        <v>0</v>
      </c>
      <c r="I10" s="49">
        <f>H10+H10*$C$12</f>
        <v>0</v>
      </c>
      <c r="J10" s="49">
        <f>I10+I10*$C$12</f>
        <v>0</v>
      </c>
      <c r="K10" s="49">
        <f>J10+J10*$C$12</f>
        <v>0</v>
      </c>
    </row>
    <row r="11" spans="1:12">
      <c r="A11" s="81">
        <f t="shared" ref="A11:A17" si="0">A10+1</f>
        <v>5</v>
      </c>
      <c r="B11" s="205" t="s">
        <v>154</v>
      </c>
      <c r="C11" s="206">
        <v>0</v>
      </c>
      <c r="E11" s="46" t="s">
        <v>32</v>
      </c>
      <c r="F11" s="49">
        <f>F10</f>
        <v>0</v>
      </c>
      <c r="G11" s="49">
        <f>G10+G10*$C$154</f>
        <v>0</v>
      </c>
      <c r="H11" s="49">
        <f>H10+H10*$C$154</f>
        <v>0</v>
      </c>
      <c r="I11" s="49">
        <f>I10+I10*$C$154</f>
        <v>0</v>
      </c>
      <c r="J11" s="49">
        <f>J10+J10*$C$154</f>
        <v>0</v>
      </c>
      <c r="K11" s="49">
        <f>K10+K10*$C$154</f>
        <v>0</v>
      </c>
    </row>
    <row r="12" spans="1:12">
      <c r="A12" s="81">
        <f t="shared" si="0"/>
        <v>6</v>
      </c>
      <c r="B12" s="205" t="s">
        <v>155</v>
      </c>
      <c r="C12" s="207">
        <v>0</v>
      </c>
      <c r="E12" s="46" t="s">
        <v>36</v>
      </c>
      <c r="F12" s="49"/>
      <c r="G12" s="49">
        <f>G11-G10</f>
        <v>0</v>
      </c>
      <c r="H12" s="49">
        <f>H11-H10</f>
        <v>0</v>
      </c>
      <c r="I12" s="49">
        <f>I11-I10</f>
        <v>0</v>
      </c>
      <c r="J12" s="49">
        <f>J11-J10</f>
        <v>0</v>
      </c>
      <c r="K12" s="49">
        <f>K11-K10</f>
        <v>0</v>
      </c>
    </row>
    <row r="13" spans="1:12">
      <c r="A13" s="81">
        <f t="shared" si="0"/>
        <v>7</v>
      </c>
      <c r="B13" s="205" t="s">
        <v>153</v>
      </c>
      <c r="C13" s="208">
        <v>0</v>
      </c>
      <c r="E13" s="46" t="s">
        <v>28</v>
      </c>
      <c r="F13" s="50">
        <f>C13</f>
        <v>0</v>
      </c>
      <c r="G13" s="50">
        <f>F13+F13*$C$14</f>
        <v>0</v>
      </c>
      <c r="H13" s="50">
        <f>G13+G13*$C$14</f>
        <v>0</v>
      </c>
      <c r="I13" s="50">
        <f>H13+H13*$C$14</f>
        <v>0</v>
      </c>
      <c r="J13" s="50">
        <f>I13+I13*$C$14</f>
        <v>0</v>
      </c>
      <c r="K13" s="50">
        <f>J13+J13*$C$14</f>
        <v>0</v>
      </c>
    </row>
    <row r="14" spans="1:12">
      <c r="A14" s="81">
        <f t="shared" si="0"/>
        <v>8</v>
      </c>
      <c r="B14" s="205" t="s">
        <v>139</v>
      </c>
      <c r="C14" s="207">
        <v>0</v>
      </c>
      <c r="E14" s="46" t="s">
        <v>51</v>
      </c>
      <c r="F14" s="50">
        <f t="shared" ref="F14:K14" si="1">(F13+F13*$C$66)/$C$68</f>
        <v>0</v>
      </c>
      <c r="G14" s="50">
        <f t="shared" si="1"/>
        <v>0</v>
      </c>
      <c r="H14" s="50">
        <f t="shared" si="1"/>
        <v>0</v>
      </c>
      <c r="I14" s="50">
        <f t="shared" si="1"/>
        <v>0</v>
      </c>
      <c r="J14" s="50">
        <f t="shared" si="1"/>
        <v>0</v>
      </c>
      <c r="K14" s="50">
        <f t="shared" si="1"/>
        <v>0</v>
      </c>
    </row>
    <row r="15" spans="1:12">
      <c r="A15" s="81">
        <f t="shared" si="0"/>
        <v>9</v>
      </c>
      <c r="B15" s="209" t="s">
        <v>33</v>
      </c>
      <c r="C15" s="210">
        <v>0</v>
      </c>
      <c r="E15" s="46" t="s">
        <v>29</v>
      </c>
      <c r="F15" s="49">
        <f t="shared" ref="F15:K15" si="2">$C$15</f>
        <v>0</v>
      </c>
      <c r="G15" s="49">
        <f t="shared" si="2"/>
        <v>0</v>
      </c>
      <c r="H15" s="49">
        <f t="shared" si="2"/>
        <v>0</v>
      </c>
      <c r="I15" s="49">
        <f t="shared" si="2"/>
        <v>0</v>
      </c>
      <c r="J15" s="49">
        <f t="shared" si="2"/>
        <v>0</v>
      </c>
      <c r="K15" s="49">
        <f t="shared" si="2"/>
        <v>0</v>
      </c>
    </row>
    <row r="16" spans="1:12" s="4" customFormat="1">
      <c r="A16" s="81">
        <f t="shared" si="0"/>
        <v>10</v>
      </c>
      <c r="B16" s="213" t="s">
        <v>241</v>
      </c>
      <c r="C16" s="208">
        <v>0</v>
      </c>
      <c r="D16" s="25"/>
      <c r="E16" s="46" t="s">
        <v>168</v>
      </c>
      <c r="F16" s="49">
        <f>C16</f>
        <v>0</v>
      </c>
      <c r="G16" s="49">
        <f>F16+F16*$C$17</f>
        <v>0</v>
      </c>
      <c r="H16" s="49">
        <f>G16+G16*$C$17</f>
        <v>0</v>
      </c>
      <c r="I16" s="49">
        <f>H16+H16*$C$17</f>
        <v>0</v>
      </c>
      <c r="J16" s="49">
        <f>I16+I16*$C$17</f>
        <v>0</v>
      </c>
      <c r="K16" s="49">
        <f>J16+J16*$C$17</f>
        <v>0</v>
      </c>
      <c r="L16" s="46"/>
    </row>
    <row r="17" spans="1:12">
      <c r="A17" s="81">
        <f t="shared" si="0"/>
        <v>11</v>
      </c>
      <c r="B17" s="211" t="s">
        <v>54</v>
      </c>
      <c r="C17" s="212">
        <v>0</v>
      </c>
      <c r="E17" s="46" t="s">
        <v>185</v>
      </c>
      <c r="F17" s="49">
        <f t="shared" ref="F17:K17" si="3">F9*F11*F15</f>
        <v>0</v>
      </c>
      <c r="G17" s="49">
        <f t="shared" si="3"/>
        <v>0</v>
      </c>
      <c r="H17" s="49">
        <f t="shared" si="3"/>
        <v>0</v>
      </c>
      <c r="I17" s="49">
        <f t="shared" si="3"/>
        <v>0</v>
      </c>
      <c r="J17" s="49">
        <f t="shared" si="3"/>
        <v>0</v>
      </c>
      <c r="K17" s="49">
        <f t="shared" si="3"/>
        <v>0</v>
      </c>
    </row>
    <row r="18" spans="1:12">
      <c r="E18" s="46" t="s">
        <v>186</v>
      </c>
      <c r="F18" s="49">
        <f t="shared" ref="F18:K18" si="4">F9*F11</f>
        <v>0</v>
      </c>
      <c r="G18" s="49">
        <f t="shared" si="4"/>
        <v>0</v>
      </c>
      <c r="H18" s="49">
        <f t="shared" si="4"/>
        <v>0</v>
      </c>
      <c r="I18" s="49">
        <f t="shared" si="4"/>
        <v>0</v>
      </c>
      <c r="J18" s="49">
        <f t="shared" si="4"/>
        <v>0</v>
      </c>
      <c r="K18" s="49">
        <f t="shared" si="4"/>
        <v>0</v>
      </c>
    </row>
    <row r="19" spans="1:12">
      <c r="E19" s="46" t="s">
        <v>187</v>
      </c>
      <c r="F19" s="49">
        <f>F9*F10*F13*F15</f>
        <v>0</v>
      </c>
      <c r="G19" s="49">
        <f>G9*G11*G13*G15</f>
        <v>0</v>
      </c>
      <c r="H19" s="49">
        <f>H9*H11*H13*H15</f>
        <v>0</v>
      </c>
      <c r="I19" s="49">
        <f>I9*I11*I13*I15</f>
        <v>0</v>
      </c>
      <c r="J19" s="49">
        <f>J9*J11*J13*J15</f>
        <v>0</v>
      </c>
      <c r="K19" s="49">
        <f>K9*K11*K13*K15</f>
        <v>0</v>
      </c>
    </row>
    <row r="20" spans="1:12" ht="60">
      <c r="B20" s="78" t="s">
        <v>238</v>
      </c>
      <c r="F20" s="48" t="s">
        <v>21</v>
      </c>
      <c r="G20" s="48" t="s">
        <v>3</v>
      </c>
      <c r="H20" s="48" t="s">
        <v>4</v>
      </c>
      <c r="I20" s="48" t="s">
        <v>5</v>
      </c>
      <c r="J20" s="48" t="s">
        <v>6</v>
      </c>
      <c r="K20" s="48" t="s">
        <v>7</v>
      </c>
    </row>
    <row r="21" spans="1:12">
      <c r="A21" s="81">
        <f>A17+1</f>
        <v>12</v>
      </c>
      <c r="B21" s="205" t="s">
        <v>38</v>
      </c>
      <c r="C21" s="206">
        <v>0</v>
      </c>
      <c r="E21" s="46" t="s">
        <v>11</v>
      </c>
      <c r="F21" s="49">
        <f>C21</f>
        <v>0</v>
      </c>
      <c r="G21" s="49">
        <f>F21+F21*$C$22</f>
        <v>0</v>
      </c>
      <c r="H21" s="49">
        <f>G21+G21*$C$22</f>
        <v>0</v>
      </c>
      <c r="I21" s="49">
        <f>H21+H21*$C$22</f>
        <v>0</v>
      </c>
      <c r="J21" s="49">
        <f>I21+I21*$C$22</f>
        <v>0</v>
      </c>
      <c r="K21" s="49">
        <f>J21+J21*$C$22</f>
        <v>0</v>
      </c>
    </row>
    <row r="22" spans="1:12">
      <c r="A22" s="81">
        <f t="shared" ref="A22:A28" si="5">A21+1</f>
        <v>13</v>
      </c>
      <c r="B22" s="211" t="s">
        <v>39</v>
      </c>
      <c r="C22" s="212">
        <v>0</v>
      </c>
      <c r="E22" s="46" t="s">
        <v>48</v>
      </c>
      <c r="F22" s="49"/>
      <c r="G22" s="49">
        <f>G21-F21</f>
        <v>0</v>
      </c>
      <c r="H22" s="49">
        <f>H21-G21</f>
        <v>0</v>
      </c>
      <c r="I22" s="49">
        <f>I21-H21</f>
        <v>0</v>
      </c>
      <c r="J22" s="49">
        <f>J21-I21</f>
        <v>0</v>
      </c>
      <c r="K22" s="49">
        <f>K21-J21</f>
        <v>0</v>
      </c>
    </row>
    <row r="23" spans="1:12" ht="41.45" customHeight="1">
      <c r="A23" s="81">
        <f t="shared" si="5"/>
        <v>14</v>
      </c>
      <c r="B23" s="211" t="s">
        <v>149</v>
      </c>
      <c r="C23" s="215">
        <v>0</v>
      </c>
      <c r="E23" s="46" t="s">
        <v>140</v>
      </c>
      <c r="F23" s="49">
        <f t="shared" ref="F23:K23" si="6">$C$28*F21</f>
        <v>0</v>
      </c>
      <c r="G23" s="49">
        <f t="shared" si="6"/>
        <v>0</v>
      </c>
      <c r="H23" s="49">
        <f t="shared" si="6"/>
        <v>0</v>
      </c>
      <c r="I23" s="49">
        <f t="shared" si="6"/>
        <v>0</v>
      </c>
      <c r="J23" s="49">
        <f t="shared" si="6"/>
        <v>0</v>
      </c>
      <c r="K23" s="49">
        <f t="shared" si="6"/>
        <v>0</v>
      </c>
    </row>
    <row r="24" spans="1:12" ht="45">
      <c r="A24" s="81">
        <f t="shared" si="5"/>
        <v>15</v>
      </c>
      <c r="B24" s="211" t="s">
        <v>243</v>
      </c>
      <c r="C24" s="215">
        <v>0</v>
      </c>
      <c r="E24" s="46" t="s">
        <v>45</v>
      </c>
      <c r="F24" s="49"/>
      <c r="G24" s="49">
        <f>$C$23*G21*$C$156</f>
        <v>0</v>
      </c>
      <c r="H24" s="49">
        <f>$C$23*H21*$C$156</f>
        <v>0</v>
      </c>
      <c r="I24" s="49">
        <f>$C$23*I21*$C$156</f>
        <v>0</v>
      </c>
      <c r="J24" s="49">
        <f>$C$23*J21*$C$156</f>
        <v>0</v>
      </c>
      <c r="K24" s="49">
        <f>$C$23*K21*$C$156</f>
        <v>0</v>
      </c>
    </row>
    <row r="25" spans="1:12" ht="30">
      <c r="A25" s="81">
        <f t="shared" si="5"/>
        <v>16</v>
      </c>
      <c r="B25" s="211" t="s">
        <v>244</v>
      </c>
      <c r="C25" s="215">
        <v>0</v>
      </c>
      <c r="E25" s="46" t="s">
        <v>44</v>
      </c>
      <c r="F25" s="49"/>
      <c r="G25" s="49">
        <f>($C$24*12+$C$25)*$C$155</f>
        <v>0</v>
      </c>
      <c r="H25" s="49">
        <f>($C$24*12+$C$25)*$C$155</f>
        <v>0</v>
      </c>
      <c r="I25" s="49">
        <f>($C$24*12+$C$25)*$C$155</f>
        <v>0</v>
      </c>
      <c r="J25" s="49">
        <f>($C$24*12+$C$25)*$C$155</f>
        <v>0</v>
      </c>
      <c r="K25" s="49">
        <f>($C$24*12+$C$25)*$C$155</f>
        <v>0</v>
      </c>
    </row>
    <row r="26" spans="1:12" ht="42" customHeight="1">
      <c r="A26" s="81">
        <f t="shared" si="5"/>
        <v>17</v>
      </c>
      <c r="B26" s="211" t="s">
        <v>156</v>
      </c>
      <c r="C26" s="215">
        <v>0</v>
      </c>
    </row>
    <row r="27" spans="1:12" s="4" customFormat="1" ht="45">
      <c r="A27" s="81">
        <f t="shared" si="5"/>
        <v>18</v>
      </c>
      <c r="B27" s="214" t="s">
        <v>170</v>
      </c>
      <c r="C27" s="215">
        <v>0</v>
      </c>
      <c r="D27" s="25"/>
      <c r="E27" s="46"/>
      <c r="F27" s="45"/>
      <c r="G27" s="45"/>
      <c r="H27" s="45"/>
      <c r="I27" s="45"/>
      <c r="J27" s="45"/>
      <c r="K27" s="45"/>
      <c r="L27" s="46"/>
    </row>
    <row r="28" spans="1:12" s="4" customFormat="1" ht="60">
      <c r="A28" s="81">
        <f t="shared" si="5"/>
        <v>19</v>
      </c>
      <c r="B28" s="214" t="s">
        <v>245</v>
      </c>
      <c r="C28" s="215">
        <v>0</v>
      </c>
      <c r="D28" s="25"/>
      <c r="E28" s="46"/>
      <c r="F28" s="45"/>
      <c r="G28" s="45"/>
      <c r="H28" s="45"/>
      <c r="I28" s="45"/>
      <c r="J28" s="45"/>
      <c r="K28" s="45"/>
      <c r="L28" s="46"/>
    </row>
    <row r="29" spans="1:12">
      <c r="C29" s="23"/>
      <c r="F29" s="48" t="s">
        <v>21</v>
      </c>
      <c r="G29" s="48" t="s">
        <v>3</v>
      </c>
      <c r="H29" s="48" t="s">
        <v>4</v>
      </c>
      <c r="I29" s="48" t="s">
        <v>5</v>
      </c>
      <c r="J29" s="48" t="s">
        <v>6</v>
      </c>
      <c r="K29" s="48" t="s">
        <v>7</v>
      </c>
    </row>
    <row r="30" spans="1:12" ht="30">
      <c r="A30" s="81">
        <f>A28+1</f>
        <v>20</v>
      </c>
      <c r="B30" s="205" t="s">
        <v>162</v>
      </c>
      <c r="C30" s="206">
        <v>0</v>
      </c>
      <c r="E30" s="46" t="s">
        <v>59</v>
      </c>
      <c r="F30" s="49"/>
      <c r="G30" s="49">
        <f>$C$30*$C$161</f>
        <v>0</v>
      </c>
      <c r="H30" s="49">
        <f>$C$30*$C$161</f>
        <v>0</v>
      </c>
      <c r="I30" s="49">
        <f>$C$30*$C$161</f>
        <v>0</v>
      </c>
      <c r="J30" s="49">
        <f>$C$30*$C$161</f>
        <v>0</v>
      </c>
      <c r="K30" s="49">
        <f>$C$30*$C$161</f>
        <v>0</v>
      </c>
    </row>
    <row r="31" spans="1:12" ht="30">
      <c r="A31" s="81">
        <f>A30+1</f>
        <v>21</v>
      </c>
      <c r="B31" s="211" t="s">
        <v>157</v>
      </c>
      <c r="C31" s="215">
        <v>0</v>
      </c>
      <c r="E31" s="46" t="s">
        <v>60</v>
      </c>
      <c r="F31" s="49"/>
      <c r="G31" s="49">
        <f>$C$31*$C$162</f>
        <v>0</v>
      </c>
      <c r="H31" s="49">
        <f>$C$31*$C$162</f>
        <v>0</v>
      </c>
      <c r="I31" s="49">
        <f>$C$31*$C$162</f>
        <v>0</v>
      </c>
      <c r="J31" s="49">
        <f>$C$31*$C$162</f>
        <v>0</v>
      </c>
      <c r="K31" s="49">
        <f>$C$31*$C$162</f>
        <v>0</v>
      </c>
    </row>
    <row r="32" spans="1:12">
      <c r="C32" s="5"/>
    </row>
    <row r="33" spans="1:11" ht="60">
      <c r="B33" s="79" t="s">
        <v>237</v>
      </c>
      <c r="C33" s="23"/>
      <c r="F33" s="48" t="s">
        <v>21</v>
      </c>
      <c r="G33" s="48" t="s">
        <v>3</v>
      </c>
      <c r="H33" s="48" t="s">
        <v>4</v>
      </c>
      <c r="I33" s="48" t="s">
        <v>5</v>
      </c>
      <c r="J33" s="48" t="s">
        <v>6</v>
      </c>
      <c r="K33" s="48" t="s">
        <v>7</v>
      </c>
    </row>
    <row r="34" spans="1:11" ht="30">
      <c r="A34" s="81">
        <f>A31+1</f>
        <v>22</v>
      </c>
      <c r="B34" s="205" t="s">
        <v>246</v>
      </c>
      <c r="C34" s="206">
        <v>0</v>
      </c>
      <c r="E34" s="46" t="s">
        <v>179</v>
      </c>
      <c r="F34" s="50">
        <f t="shared" ref="F34:K34" si="7">$C$34*F19</f>
        <v>0</v>
      </c>
      <c r="G34" s="50">
        <f t="shared" si="7"/>
        <v>0</v>
      </c>
      <c r="H34" s="50">
        <f t="shared" si="7"/>
        <v>0</v>
      </c>
      <c r="I34" s="50">
        <f t="shared" si="7"/>
        <v>0</v>
      </c>
      <c r="J34" s="50">
        <f t="shared" si="7"/>
        <v>0</v>
      </c>
      <c r="K34" s="50">
        <f t="shared" si="7"/>
        <v>0</v>
      </c>
    </row>
    <row r="35" spans="1:11">
      <c r="B35" s="217"/>
      <c r="C35" s="216"/>
      <c r="E35" s="46" t="s">
        <v>180</v>
      </c>
      <c r="F35" s="50"/>
      <c r="G35" s="50">
        <f>G34*(1-$C$157)</f>
        <v>0</v>
      </c>
      <c r="H35" s="50">
        <f>H34*(1-$C$157)</f>
        <v>0</v>
      </c>
      <c r="I35" s="50">
        <f>I34*(1-$C$157)</f>
        <v>0</v>
      </c>
      <c r="J35" s="50">
        <f>J34*(1-$C$157)</f>
        <v>0</v>
      </c>
      <c r="K35" s="50">
        <f>K34*(1-$C$157)</f>
        <v>0</v>
      </c>
    </row>
    <row r="36" spans="1:11">
      <c r="A36" s="219">
        <v>23</v>
      </c>
      <c r="B36" s="218" t="s">
        <v>181</v>
      </c>
      <c r="C36" s="220">
        <v>0</v>
      </c>
      <c r="E36" s="46" t="s">
        <v>182</v>
      </c>
      <c r="F36" s="50">
        <f t="shared" ref="F36:K36" si="8">$C$36*F19</f>
        <v>0</v>
      </c>
      <c r="G36" s="50">
        <f t="shared" si="8"/>
        <v>0</v>
      </c>
      <c r="H36" s="50">
        <f t="shared" si="8"/>
        <v>0</v>
      </c>
      <c r="I36" s="50">
        <f t="shared" si="8"/>
        <v>0</v>
      </c>
      <c r="J36" s="50">
        <f t="shared" si="8"/>
        <v>0</v>
      </c>
      <c r="K36" s="50">
        <f t="shared" si="8"/>
        <v>0</v>
      </c>
    </row>
    <row r="37" spans="1:11">
      <c r="B37" s="65"/>
      <c r="C37" s="65"/>
      <c r="E37" s="46" t="s">
        <v>183</v>
      </c>
      <c r="F37" s="50"/>
      <c r="G37" s="50">
        <f>G36*(1-$C$158)</f>
        <v>0</v>
      </c>
      <c r="H37" s="50">
        <f>H36*(1-$C$158)</f>
        <v>0</v>
      </c>
      <c r="I37" s="50">
        <f>I36*(1-$C$158)</f>
        <v>0</v>
      </c>
      <c r="J37" s="50">
        <f>J36*(1-$C$158)</f>
        <v>0</v>
      </c>
      <c r="K37" s="50">
        <f>K36*(1-$C$158)</f>
        <v>0</v>
      </c>
    </row>
    <row r="38" spans="1:11">
      <c r="B38" s="30"/>
      <c r="C38" s="31"/>
      <c r="F38" s="66"/>
    </row>
    <row r="39" spans="1:11">
      <c r="B39" s="30"/>
      <c r="C39" s="31"/>
      <c r="F39" s="66"/>
    </row>
    <row r="40" spans="1:11">
      <c r="A40" s="81">
        <f>A36+1</f>
        <v>24</v>
      </c>
      <c r="B40" s="221" t="s">
        <v>50</v>
      </c>
      <c r="C40" s="206">
        <v>0</v>
      </c>
    </row>
    <row r="41" spans="1:11" ht="30">
      <c r="A41" s="81">
        <f>A40+1</f>
        <v>25</v>
      </c>
      <c r="B41" s="222" t="s">
        <v>141</v>
      </c>
      <c r="C41" s="215">
        <v>0</v>
      </c>
      <c r="E41" s="46" t="s">
        <v>52</v>
      </c>
      <c r="F41" s="50">
        <f t="shared" ref="F41:K41" si="9">$C$40*F13+$C$41*F14</f>
        <v>0</v>
      </c>
      <c r="G41" s="50">
        <f t="shared" si="9"/>
        <v>0</v>
      </c>
      <c r="H41" s="50">
        <f t="shared" si="9"/>
        <v>0</v>
      </c>
      <c r="I41" s="50">
        <f t="shared" si="9"/>
        <v>0</v>
      </c>
      <c r="J41" s="50">
        <f t="shared" si="9"/>
        <v>0</v>
      </c>
      <c r="K41" s="50">
        <f t="shared" si="9"/>
        <v>0</v>
      </c>
    </row>
    <row r="42" spans="1:11">
      <c r="C42" s="23"/>
      <c r="F42" s="52"/>
      <c r="G42" s="52"/>
      <c r="H42" s="52"/>
      <c r="I42" s="52"/>
      <c r="J42" s="52"/>
      <c r="K42" s="52"/>
    </row>
    <row r="43" spans="1:11" ht="60">
      <c r="B43" s="88" t="s">
        <v>236</v>
      </c>
      <c r="C43" s="22"/>
      <c r="E43" s="53" t="s">
        <v>53</v>
      </c>
      <c r="F43" s="48" t="s">
        <v>21</v>
      </c>
      <c r="G43" s="48" t="s">
        <v>3</v>
      </c>
      <c r="H43" s="48" t="s">
        <v>4</v>
      </c>
      <c r="I43" s="48" t="s">
        <v>5</v>
      </c>
      <c r="J43" s="48" t="s">
        <v>6</v>
      </c>
      <c r="K43" s="48" t="s">
        <v>7</v>
      </c>
    </row>
    <row r="44" spans="1:11" ht="30">
      <c r="A44" s="81">
        <f>A41+1</f>
        <v>26</v>
      </c>
      <c r="B44" s="221" t="s">
        <v>193</v>
      </c>
      <c r="C44" s="223" t="s">
        <v>142</v>
      </c>
      <c r="E44" s="51" t="s">
        <v>122</v>
      </c>
      <c r="F44" s="50">
        <f t="shared" ref="F44:K44" si="10">IF($C$44="too little",$C$45*F16*$C$46,0)</f>
        <v>0</v>
      </c>
      <c r="G44" s="50">
        <f t="shared" si="10"/>
        <v>0</v>
      </c>
      <c r="H44" s="50">
        <f t="shared" si="10"/>
        <v>0</v>
      </c>
      <c r="I44" s="50">
        <f t="shared" si="10"/>
        <v>0</v>
      </c>
      <c r="J44" s="50">
        <f t="shared" si="10"/>
        <v>0</v>
      </c>
      <c r="K44" s="50">
        <f t="shared" si="10"/>
        <v>0</v>
      </c>
    </row>
    <row r="45" spans="1:11" ht="45">
      <c r="A45" s="81">
        <f>A44+1</f>
        <v>27</v>
      </c>
      <c r="B45" s="259" t="s">
        <v>293</v>
      </c>
      <c r="C45" s="224">
        <v>0</v>
      </c>
      <c r="E45" s="51" t="s">
        <v>123</v>
      </c>
      <c r="F45" s="50">
        <f t="shared" ref="F45:K45" si="11">IF($C$44="too much",$C$45*F16*$C$48*($C$66-$C$47),0)</f>
        <v>0</v>
      </c>
      <c r="G45" s="50">
        <f t="shared" si="11"/>
        <v>0</v>
      </c>
      <c r="H45" s="50">
        <f t="shared" si="11"/>
        <v>0</v>
      </c>
      <c r="I45" s="50">
        <f t="shared" si="11"/>
        <v>0</v>
      </c>
      <c r="J45" s="50">
        <f t="shared" si="11"/>
        <v>0</v>
      </c>
      <c r="K45" s="50">
        <f t="shared" si="11"/>
        <v>0</v>
      </c>
    </row>
    <row r="46" spans="1:11">
      <c r="A46" s="81">
        <f>A45+1</f>
        <v>28</v>
      </c>
      <c r="B46" s="221" t="s">
        <v>194</v>
      </c>
      <c r="C46" s="224">
        <v>0</v>
      </c>
    </row>
    <row r="47" spans="1:11" ht="30">
      <c r="A47" s="81">
        <f>A46+1</f>
        <v>29</v>
      </c>
      <c r="B47" s="221" t="s">
        <v>195</v>
      </c>
      <c r="C47" s="207">
        <v>0</v>
      </c>
      <c r="E47" s="51" t="s">
        <v>124</v>
      </c>
      <c r="F47" s="50"/>
      <c r="G47" s="50">
        <f>IF($C$44="too little",$C$45*(1-$C$160)*G16*$C$46,0)</f>
        <v>0</v>
      </c>
      <c r="H47" s="50">
        <f>IF($C$44="too little",$C$45*(1-$C$160)*H16*$C$46,0)</f>
        <v>0</v>
      </c>
      <c r="I47" s="50">
        <f>IF($C$44="too little",$C$45*(1-$C$160)*I16*$C$46,0)</f>
        <v>0</v>
      </c>
      <c r="J47" s="50">
        <f>IF($C$44="too little",$C$45*(1-$C$160)*J16*$C$46,0)</f>
        <v>0</v>
      </c>
      <c r="K47" s="50">
        <f>IF($C$44="too little",$C$45*(1-$C$160)*K16*$C$46,0)</f>
        <v>0</v>
      </c>
    </row>
    <row r="48" spans="1:11" ht="45">
      <c r="A48" s="81">
        <f>A47+1</f>
        <v>30</v>
      </c>
      <c r="B48" s="222" t="s">
        <v>196</v>
      </c>
      <c r="C48" s="212">
        <v>0</v>
      </c>
      <c r="E48" s="51" t="s">
        <v>125</v>
      </c>
      <c r="F48" s="50"/>
      <c r="G48" s="50">
        <f>IF($C$44="too much",$C$45*(1-$C$160)*G16*$C$48*($C$66-$C$47),0)</f>
        <v>0</v>
      </c>
      <c r="H48" s="50">
        <f>IF($C$44="too much",$C$45*(1-$C$160)*H16*$C$48*($C$66-$C$47),0)</f>
        <v>0</v>
      </c>
      <c r="I48" s="50">
        <f>IF($C$44="too much",$C$45*(1-$C$160)*I16*$C$48*($C$66-$C$47),0)</f>
        <v>0</v>
      </c>
      <c r="J48" s="50">
        <f>IF($C$44="too much",$C$45*(1-$C$160)*J16*$C$48*($C$66-$C$47),0)</f>
        <v>0</v>
      </c>
      <c r="K48" s="50">
        <f>IF($C$44="too much",$C$45*(1-$C$160)*K16*$C$48*($C$66-$C$47),0)</f>
        <v>0</v>
      </c>
    </row>
    <row r="49" spans="1:12">
      <c r="C49" s="5"/>
    </row>
    <row r="50" spans="1:12">
      <c r="C50" s="5"/>
      <c r="E50" s="54" t="s">
        <v>126</v>
      </c>
      <c r="F50" s="49"/>
      <c r="G50" s="49">
        <f>(G44-G47)+(G45-G48)</f>
        <v>0</v>
      </c>
      <c r="H50" s="49">
        <f>(H44-H47)+(H45-H48)</f>
        <v>0</v>
      </c>
      <c r="I50" s="49">
        <f>(I44-I47)+(I45-I48)</f>
        <v>0</v>
      </c>
      <c r="J50" s="49">
        <f>(J44-J47)+(J45-J48)</f>
        <v>0</v>
      </c>
      <c r="K50" s="49">
        <f>(K44-K47)+(K45-K48)</f>
        <v>0</v>
      </c>
    </row>
    <row r="51" spans="1:12" ht="60">
      <c r="B51" s="80" t="s">
        <v>235</v>
      </c>
      <c r="C51" s="5"/>
    </row>
    <row r="52" spans="1:12">
      <c r="A52" s="81">
        <f>A48+1</f>
        <v>31</v>
      </c>
      <c r="B52" s="205" t="s">
        <v>47</v>
      </c>
      <c r="C52" s="206">
        <v>0</v>
      </c>
      <c r="E52" s="46" t="s">
        <v>127</v>
      </c>
      <c r="F52" s="48" t="s">
        <v>21</v>
      </c>
      <c r="G52" s="48" t="s">
        <v>3</v>
      </c>
      <c r="H52" s="48" t="s">
        <v>4</v>
      </c>
      <c r="I52" s="48" t="s">
        <v>5</v>
      </c>
      <c r="J52" s="48" t="s">
        <v>6</v>
      </c>
      <c r="K52" s="48" t="s">
        <v>7</v>
      </c>
    </row>
    <row r="53" spans="1:12" ht="45">
      <c r="A53" s="81">
        <f>A52+1</f>
        <v>32</v>
      </c>
      <c r="B53" s="213" t="s">
        <v>247</v>
      </c>
      <c r="C53" s="206">
        <v>0</v>
      </c>
      <c r="E53" s="51" t="s">
        <v>143</v>
      </c>
      <c r="F53" s="49">
        <f t="shared" ref="F53:K53" si="12">($C$54*F21)+$C$53</f>
        <v>0</v>
      </c>
      <c r="G53" s="49">
        <f t="shared" si="12"/>
        <v>0</v>
      </c>
      <c r="H53" s="49">
        <f t="shared" si="12"/>
        <v>0</v>
      </c>
      <c r="I53" s="49">
        <f t="shared" si="12"/>
        <v>0</v>
      </c>
      <c r="J53" s="49">
        <f t="shared" si="12"/>
        <v>0</v>
      </c>
      <c r="K53" s="49">
        <f t="shared" si="12"/>
        <v>0</v>
      </c>
    </row>
    <row r="54" spans="1:12" ht="45">
      <c r="A54" s="81">
        <f>A53+1</f>
        <v>33</v>
      </c>
      <c r="B54" s="213" t="s">
        <v>248</v>
      </c>
      <c r="C54" s="206">
        <v>0</v>
      </c>
      <c r="E54" s="51" t="s">
        <v>144</v>
      </c>
      <c r="F54" s="49"/>
      <c r="G54" s="49">
        <f>($C$53-$C$163)+($C$54-$C$164)*G21</f>
        <v>0</v>
      </c>
      <c r="H54" s="49">
        <f>($C$53-$C$163)+($C$54-$C$164)*H21</f>
        <v>0</v>
      </c>
      <c r="I54" s="49">
        <f>($C$53-$C$163)+($C$54-$C$164)*I21</f>
        <v>0</v>
      </c>
      <c r="J54" s="49">
        <f>($C$53-$C$163)+($C$54-$C$164)*J21</f>
        <v>0</v>
      </c>
      <c r="K54" s="49">
        <f>($C$53-$C$163)+($C$54-$C$164)*K21</f>
        <v>0</v>
      </c>
    </row>
    <row r="55" spans="1:12" s="4" customFormat="1" ht="60">
      <c r="A55" s="81">
        <f>A54+1</f>
        <v>34</v>
      </c>
      <c r="B55" s="213" t="s">
        <v>249</v>
      </c>
      <c r="C55" s="206">
        <v>0</v>
      </c>
      <c r="D55" s="25"/>
      <c r="E55" s="51" t="s">
        <v>178</v>
      </c>
      <c r="F55" s="49"/>
      <c r="G55" s="49">
        <f>(G53-G54)*$F$61</f>
        <v>0</v>
      </c>
      <c r="H55" s="49">
        <f>(H53-H54)*$F$61</f>
        <v>0</v>
      </c>
      <c r="I55" s="49">
        <f>(I53-I54)*$F$61</f>
        <v>0</v>
      </c>
      <c r="J55" s="49">
        <f>(J53-J54)*$F$61</f>
        <v>0</v>
      </c>
      <c r="K55" s="49">
        <f>(K53-K54)*$F$61</f>
        <v>0</v>
      </c>
      <c r="L55" s="46"/>
    </row>
    <row r="56" spans="1:12" ht="30">
      <c r="A56" s="81">
        <f>A55+1</f>
        <v>35</v>
      </c>
      <c r="B56" s="211" t="s">
        <v>158</v>
      </c>
      <c r="C56" s="225">
        <v>0</v>
      </c>
      <c r="E56" s="46" t="s">
        <v>145</v>
      </c>
      <c r="F56" s="49"/>
      <c r="G56" s="55">
        <f>($C$165)*G9*G11*G13*$C$56*$F$66*$C$52</f>
        <v>0</v>
      </c>
      <c r="H56" s="55">
        <f>($C$165)*H9*H11*H13*$C$56*$F$66*$C$52</f>
        <v>0</v>
      </c>
      <c r="I56" s="55">
        <f>($C$165)*I9*I11*I13*$C$56*$F$66*$C$52</f>
        <v>0</v>
      </c>
      <c r="J56" s="55">
        <f>($C$165)*J9*J11*J13*$C$56*$F$66*$C$52</f>
        <v>0</v>
      </c>
      <c r="K56" s="55">
        <f>($C$165)*K9*K11*K13*$C$56*$F$66*$C$52</f>
        <v>0</v>
      </c>
    </row>
    <row r="57" spans="1:12">
      <c r="C57" s="24"/>
    </row>
    <row r="58" spans="1:12">
      <c r="B58" s="77" t="s">
        <v>37</v>
      </c>
      <c r="F58" s="45" t="s">
        <v>41</v>
      </c>
    </row>
    <row r="59" spans="1:12">
      <c r="A59" s="81">
        <f>A56+1</f>
        <v>36</v>
      </c>
      <c r="B59" s="213" t="s">
        <v>146</v>
      </c>
      <c r="C59" s="208">
        <v>0</v>
      </c>
      <c r="E59" s="46" t="s">
        <v>40</v>
      </c>
      <c r="F59" s="49">
        <f>C59/$F$68</f>
        <v>0</v>
      </c>
    </row>
    <row r="60" spans="1:12">
      <c r="A60" s="81">
        <f>A59+1</f>
        <v>37</v>
      </c>
      <c r="B60" s="213" t="s">
        <v>250</v>
      </c>
      <c r="C60" s="208">
        <v>0</v>
      </c>
      <c r="E60" s="46" t="s">
        <v>42</v>
      </c>
      <c r="F60" s="49">
        <f>C60/$F$68</f>
        <v>0</v>
      </c>
    </row>
    <row r="61" spans="1:12">
      <c r="A61" s="81">
        <f>A60+1</f>
        <v>38</v>
      </c>
      <c r="B61" s="213" t="s">
        <v>147</v>
      </c>
      <c r="C61" s="208">
        <v>0</v>
      </c>
      <c r="E61" s="46" t="s">
        <v>49</v>
      </c>
      <c r="F61" s="49">
        <f>C61/$F$68</f>
        <v>0</v>
      </c>
    </row>
    <row r="62" spans="1:12">
      <c r="A62" s="81">
        <f>A61+1</f>
        <v>39</v>
      </c>
      <c r="B62" s="213" t="s">
        <v>148</v>
      </c>
      <c r="C62" s="208">
        <v>0</v>
      </c>
      <c r="E62" s="46" t="s">
        <v>102</v>
      </c>
      <c r="F62" s="49">
        <f>C62/$F$68</f>
        <v>0</v>
      </c>
    </row>
    <row r="63" spans="1:12" ht="30">
      <c r="A63" s="81">
        <f>A62+1</f>
        <v>40</v>
      </c>
      <c r="B63" s="214" t="s">
        <v>197</v>
      </c>
      <c r="C63" s="232">
        <v>0</v>
      </c>
      <c r="E63" s="46" t="s">
        <v>103</v>
      </c>
      <c r="F63" s="49">
        <f>C63/$F$68</f>
        <v>0</v>
      </c>
    </row>
    <row r="65" spans="1:12">
      <c r="B65" s="228" t="s">
        <v>159</v>
      </c>
      <c r="C65" s="229"/>
    </row>
    <row r="66" spans="1:12">
      <c r="A66" s="81">
        <f>A63+1</f>
        <v>41</v>
      </c>
      <c r="B66" s="226" t="s">
        <v>35</v>
      </c>
      <c r="C66" s="227">
        <v>0</v>
      </c>
      <c r="E66" s="46" t="s">
        <v>58</v>
      </c>
      <c r="F66" s="56">
        <f>C66/C67</f>
        <v>0</v>
      </c>
    </row>
    <row r="67" spans="1:12" ht="26.45" customHeight="1">
      <c r="A67" s="81">
        <f>A66+1</f>
        <v>42</v>
      </c>
      <c r="B67" s="205" t="s">
        <v>251</v>
      </c>
      <c r="C67" s="231">
        <v>365</v>
      </c>
    </row>
    <row r="68" spans="1:12">
      <c r="A68" s="81">
        <f>A67+1</f>
        <v>43</v>
      </c>
      <c r="B68" s="214" t="s">
        <v>252</v>
      </c>
      <c r="C68" s="230">
        <v>52</v>
      </c>
      <c r="E68" s="46" t="s">
        <v>43</v>
      </c>
      <c r="F68" s="49">
        <f>C68*C69</f>
        <v>260</v>
      </c>
    </row>
    <row r="69" spans="1:12">
      <c r="A69" s="81">
        <f>A68+1</f>
        <v>44</v>
      </c>
      <c r="B69" s="214" t="s">
        <v>253</v>
      </c>
      <c r="C69" s="230">
        <v>5</v>
      </c>
    </row>
    <row r="73" spans="1:12" ht="45">
      <c r="B73" s="77" t="s">
        <v>160</v>
      </c>
      <c r="F73" s="48"/>
      <c r="G73" s="48"/>
      <c r="H73" s="48"/>
      <c r="I73" s="48"/>
      <c r="J73" s="48"/>
      <c r="K73" s="48"/>
    </row>
    <row r="74" spans="1:12">
      <c r="F74" s="48"/>
      <c r="G74" s="48"/>
      <c r="H74" s="48"/>
      <c r="I74" s="48"/>
      <c r="J74" s="48"/>
      <c r="K74" s="48"/>
    </row>
    <row r="75" spans="1:12">
      <c r="B75" s="77" t="s">
        <v>191</v>
      </c>
    </row>
    <row r="76" spans="1:12">
      <c r="A76" s="81">
        <f>A69+1</f>
        <v>45</v>
      </c>
      <c r="B76" s="205" t="s">
        <v>254</v>
      </c>
      <c r="C76" s="231" t="s">
        <v>104</v>
      </c>
      <c r="F76" s="48" t="s">
        <v>21</v>
      </c>
      <c r="G76" s="48" t="s">
        <v>3</v>
      </c>
      <c r="H76" s="48" t="s">
        <v>4</v>
      </c>
      <c r="I76" s="48" t="s">
        <v>5</v>
      </c>
      <c r="J76" s="48" t="s">
        <v>6</v>
      </c>
      <c r="K76" s="48" t="s">
        <v>7</v>
      </c>
    </row>
    <row r="77" spans="1:12">
      <c r="B77" s="67"/>
    </row>
    <row r="78" spans="1:12">
      <c r="B78" s="68" t="s">
        <v>99</v>
      </c>
      <c r="L78" s="46" t="s">
        <v>107</v>
      </c>
    </row>
    <row r="79" spans="1:12">
      <c r="A79" s="81">
        <f>A76+1</f>
        <v>46</v>
      </c>
      <c r="B79" s="221" t="s">
        <v>98</v>
      </c>
      <c r="C79" s="231">
        <v>1</v>
      </c>
      <c r="E79" s="46" t="s">
        <v>100</v>
      </c>
      <c r="F79" s="49">
        <v>0</v>
      </c>
      <c r="G79" s="49">
        <f>F9*F11*$C$79</f>
        <v>0</v>
      </c>
      <c r="H79" s="49">
        <f>G9*G11*$C$79</f>
        <v>0</v>
      </c>
      <c r="I79" s="49">
        <f>H9*H11*$C$79</f>
        <v>0</v>
      </c>
      <c r="J79" s="49">
        <f>I9*I11*$C$79</f>
        <v>0</v>
      </c>
      <c r="K79" s="49">
        <f>J9*J11*$C$79</f>
        <v>0</v>
      </c>
    </row>
    <row r="81" spans="1:11">
      <c r="B81" s="1" t="s">
        <v>192</v>
      </c>
      <c r="E81" s="57" t="s">
        <v>101</v>
      </c>
    </row>
    <row r="82" spans="1:11">
      <c r="A82" s="81">
        <f>A79+1</f>
        <v>47</v>
      </c>
      <c r="B82" s="221" t="s">
        <v>66</v>
      </c>
      <c r="C82" s="208">
        <v>0</v>
      </c>
      <c r="E82" s="46" t="s">
        <v>105</v>
      </c>
      <c r="F82" s="49">
        <f>C82*C83</f>
        <v>0</v>
      </c>
    </row>
    <row r="83" spans="1:11" ht="30">
      <c r="A83" s="81">
        <f>A82+1</f>
        <v>48</v>
      </c>
      <c r="B83" s="221" t="s">
        <v>198</v>
      </c>
      <c r="C83" s="206">
        <v>0</v>
      </c>
      <c r="F83" s="49"/>
    </row>
    <row r="84" spans="1:11">
      <c r="A84" s="81">
        <f>A83+1</f>
        <v>49</v>
      </c>
      <c r="B84" s="221" t="s">
        <v>109</v>
      </c>
      <c r="C84" s="206">
        <v>0</v>
      </c>
      <c r="E84" s="46" t="s">
        <v>106</v>
      </c>
      <c r="F84" s="49">
        <f>C84</f>
        <v>0</v>
      </c>
    </row>
    <row r="85" spans="1:11" ht="30">
      <c r="A85" s="81">
        <f>A84+1</f>
        <v>50</v>
      </c>
      <c r="B85" s="205" t="s">
        <v>255</v>
      </c>
      <c r="C85" s="206">
        <v>0</v>
      </c>
      <c r="E85" s="46" t="s">
        <v>110</v>
      </c>
      <c r="F85" s="58">
        <f>C85</f>
        <v>0</v>
      </c>
    </row>
    <row r="86" spans="1:11">
      <c r="A86" s="81">
        <f>A85+1</f>
        <v>51</v>
      </c>
      <c r="B86" s="221" t="s">
        <v>150</v>
      </c>
      <c r="C86" s="206">
        <v>0</v>
      </c>
      <c r="E86" s="46" t="s">
        <v>112</v>
      </c>
      <c r="F86" s="49"/>
      <c r="G86" s="49">
        <f>$C$86</f>
        <v>0</v>
      </c>
      <c r="H86" s="49">
        <f>$C$86</f>
        <v>0</v>
      </c>
      <c r="I86" s="49">
        <f>$C$86</f>
        <v>0</v>
      </c>
      <c r="J86" s="49">
        <f>$C$86</f>
        <v>0</v>
      </c>
      <c r="K86" s="49">
        <f>$C$86</f>
        <v>0</v>
      </c>
    </row>
    <row r="87" spans="1:11">
      <c r="A87" s="81">
        <f>A86+1</f>
        <v>52</v>
      </c>
      <c r="B87" s="222" t="s">
        <v>95</v>
      </c>
      <c r="C87" s="215">
        <v>0</v>
      </c>
      <c r="E87" s="46" t="s">
        <v>108</v>
      </c>
      <c r="F87" s="49"/>
      <c r="G87" s="49">
        <f>$C$87</f>
        <v>0</v>
      </c>
      <c r="H87" s="49">
        <f>$C$87</f>
        <v>0</v>
      </c>
      <c r="I87" s="49">
        <f>$C$87</f>
        <v>0</v>
      </c>
      <c r="J87" s="49">
        <f>$C$87</f>
        <v>0</v>
      </c>
      <c r="K87" s="49">
        <f>$C$87</f>
        <v>0</v>
      </c>
    </row>
    <row r="88" spans="1:11">
      <c r="E88" s="46" t="s">
        <v>111</v>
      </c>
      <c r="F88" s="49"/>
      <c r="G88" s="49">
        <f>$C$63</f>
        <v>0</v>
      </c>
      <c r="H88" s="49">
        <f>$C$63</f>
        <v>0</v>
      </c>
      <c r="I88" s="49">
        <f>$C$63</f>
        <v>0</v>
      </c>
      <c r="J88" s="49">
        <f>$C$63</f>
        <v>0</v>
      </c>
      <c r="K88" s="49">
        <f>$C$63</f>
        <v>0</v>
      </c>
    </row>
    <row r="89" spans="1:11">
      <c r="E89" s="59" t="s">
        <v>23</v>
      </c>
      <c r="F89" s="49">
        <f t="shared" ref="F89:K89" si="13">SUM(F82:F88)</f>
        <v>0</v>
      </c>
      <c r="G89" s="49">
        <f t="shared" si="13"/>
        <v>0</v>
      </c>
      <c r="H89" s="49">
        <f t="shared" si="13"/>
        <v>0</v>
      </c>
      <c r="I89" s="49">
        <f t="shared" si="13"/>
        <v>0</v>
      </c>
      <c r="J89" s="49">
        <f t="shared" si="13"/>
        <v>0</v>
      </c>
      <c r="K89" s="49">
        <f t="shared" si="13"/>
        <v>0</v>
      </c>
    </row>
    <row r="90" spans="1:11">
      <c r="E90" s="59"/>
      <c r="F90" s="49"/>
      <c r="G90" s="49"/>
      <c r="H90" s="49"/>
      <c r="I90" s="49"/>
      <c r="J90" s="49"/>
      <c r="K90" s="49"/>
    </row>
    <row r="91" spans="1:11">
      <c r="E91" s="46" t="s">
        <v>128</v>
      </c>
      <c r="F91" s="49">
        <f t="shared" ref="F91:K91" si="14">IF($C$76="Cloud",F79,F89)</f>
        <v>0</v>
      </c>
      <c r="G91" s="49">
        <f t="shared" si="14"/>
        <v>0</v>
      </c>
      <c r="H91" s="49">
        <f t="shared" si="14"/>
        <v>0</v>
      </c>
      <c r="I91" s="49">
        <f t="shared" si="14"/>
        <v>0</v>
      </c>
      <c r="J91" s="49">
        <f t="shared" si="14"/>
        <v>0</v>
      </c>
      <c r="K91" s="49">
        <f t="shared" si="14"/>
        <v>0</v>
      </c>
    </row>
    <row r="93" spans="1:11">
      <c r="B93" s="77" t="s">
        <v>65</v>
      </c>
    </row>
    <row r="94" spans="1:11">
      <c r="A94" s="81">
        <f>A87+1</f>
        <v>53</v>
      </c>
      <c r="B94" s="221" t="s">
        <v>67</v>
      </c>
      <c r="C94" s="208">
        <v>0</v>
      </c>
    </row>
    <row r="95" spans="1:11">
      <c r="A95" s="81">
        <f>A94+1</f>
        <v>54</v>
      </c>
      <c r="B95" s="221" t="s">
        <v>68</v>
      </c>
      <c r="C95" s="208">
        <v>0</v>
      </c>
    </row>
    <row r="96" spans="1:11">
      <c r="A96" s="81">
        <f>A95+1</f>
        <v>55</v>
      </c>
      <c r="B96" s="221" t="s">
        <v>69</v>
      </c>
      <c r="C96" s="208">
        <v>0</v>
      </c>
    </row>
    <row r="97" spans="1:13">
      <c r="A97" s="81">
        <f>A96+1</f>
        <v>56</v>
      </c>
      <c r="B97" s="211" t="s">
        <v>256</v>
      </c>
      <c r="C97" s="232">
        <v>0</v>
      </c>
    </row>
    <row r="99" spans="1:13">
      <c r="B99" s="28" t="s">
        <v>70</v>
      </c>
      <c r="F99" s="48" t="s">
        <v>21</v>
      </c>
      <c r="G99" s="48" t="s">
        <v>3</v>
      </c>
      <c r="H99" s="48" t="s">
        <v>4</v>
      </c>
      <c r="I99" s="48" t="s">
        <v>5</v>
      </c>
      <c r="J99" s="48" t="s">
        <v>6</v>
      </c>
      <c r="K99" s="48" t="s">
        <v>7</v>
      </c>
    </row>
    <row r="100" spans="1:13" ht="30">
      <c r="A100" s="81">
        <f>A97+1</f>
        <v>57</v>
      </c>
      <c r="B100" s="221" t="s">
        <v>199</v>
      </c>
      <c r="C100" s="206">
        <v>0</v>
      </c>
      <c r="E100" s="46" t="s">
        <v>79</v>
      </c>
      <c r="F100" s="50">
        <f>C94*C100+C95*C101+C96*C102+IF(C103="yes",C97,0)</f>
        <v>0</v>
      </c>
      <c r="G100" s="49"/>
      <c r="H100" s="49"/>
      <c r="I100" s="49"/>
      <c r="J100" s="49"/>
      <c r="K100" s="49"/>
    </row>
    <row r="101" spans="1:13">
      <c r="A101" s="81">
        <f>A100+1</f>
        <v>58</v>
      </c>
      <c r="B101" s="221" t="s">
        <v>71</v>
      </c>
      <c r="C101" s="206">
        <v>0</v>
      </c>
      <c r="E101" s="46" t="s">
        <v>80</v>
      </c>
      <c r="F101" s="50">
        <f>F21*($C$106*$C$94+$C$107*$C$95+$C$108*$C$96+IF($C$109="yes",$C$97,0))</f>
        <v>0</v>
      </c>
      <c r="G101" s="50">
        <f>G22*($C$106*$C$94+$C$107*$C$95+$C$108*$C$96+IF($C$109="yes",$C$97,0))</f>
        <v>0</v>
      </c>
      <c r="H101" s="50">
        <f>H22*($C$106*$C$94+$C$107*$C$95+$C$108*$C$96+IF($C$109="yes",$C$97,0))</f>
        <v>0</v>
      </c>
      <c r="I101" s="50">
        <f>I22*($C$106*$C$94+$C$107*$C$95+$C$108*$C$96+IF($C$109="yes",$C$97,0))</f>
        <v>0</v>
      </c>
      <c r="J101" s="50">
        <f>J22*($C$106*$C$94+$C$107*$C$95+$C$108*$C$96+IF($C$109="yes",$C$97,0))</f>
        <v>0</v>
      </c>
      <c r="K101" s="50">
        <f>K22*($C$106*$C$94+$C$107*$C$95+$C$108*$C$96+IF($C$109="yes",$C$97,0))</f>
        <v>0</v>
      </c>
      <c r="L101" s="46" t="s">
        <v>113</v>
      </c>
    </row>
    <row r="102" spans="1:13">
      <c r="A102" s="81">
        <f>A101+1</f>
        <v>59</v>
      </c>
      <c r="B102" s="221" t="s">
        <v>72</v>
      </c>
      <c r="C102" s="206">
        <v>0</v>
      </c>
      <c r="E102" s="46" t="s">
        <v>92</v>
      </c>
      <c r="F102" s="49">
        <f t="shared" ref="F102:K102" si="15">SUM(F100:F101)</f>
        <v>0</v>
      </c>
      <c r="G102" s="49">
        <f t="shared" si="15"/>
        <v>0</v>
      </c>
      <c r="H102" s="49">
        <f t="shared" si="15"/>
        <v>0</v>
      </c>
      <c r="I102" s="49">
        <f t="shared" si="15"/>
        <v>0</v>
      </c>
      <c r="J102" s="49">
        <f t="shared" si="15"/>
        <v>0</v>
      </c>
      <c r="K102" s="49">
        <f t="shared" si="15"/>
        <v>0</v>
      </c>
    </row>
    <row r="103" spans="1:13">
      <c r="A103" s="81">
        <f>A102+1</f>
        <v>60</v>
      </c>
      <c r="B103" s="222" t="s">
        <v>81</v>
      </c>
      <c r="C103" s="230" t="s">
        <v>82</v>
      </c>
    </row>
    <row r="105" spans="1:13">
      <c r="B105" s="28" t="s">
        <v>73</v>
      </c>
    </row>
    <row r="106" spans="1:13" ht="30">
      <c r="A106" s="81">
        <f>A103+1</f>
        <v>61</v>
      </c>
      <c r="B106" s="221" t="s">
        <v>200</v>
      </c>
      <c r="C106" s="206">
        <v>0</v>
      </c>
    </row>
    <row r="107" spans="1:13">
      <c r="A107" s="81">
        <f>A106+1</f>
        <v>62</v>
      </c>
      <c r="B107" s="221" t="s">
        <v>71</v>
      </c>
      <c r="C107" s="206">
        <v>0</v>
      </c>
    </row>
    <row r="108" spans="1:13">
      <c r="A108" s="81">
        <f>A107+1</f>
        <v>63</v>
      </c>
      <c r="B108" s="221" t="s">
        <v>72</v>
      </c>
      <c r="C108" s="206">
        <v>0</v>
      </c>
    </row>
    <row r="109" spans="1:13">
      <c r="A109" s="81">
        <f>A108+1</f>
        <v>64</v>
      </c>
      <c r="B109" s="222" t="s">
        <v>81</v>
      </c>
      <c r="C109" s="230" t="s">
        <v>82</v>
      </c>
    </row>
    <row r="111" spans="1:13" s="4" customFormat="1">
      <c r="A111" s="82"/>
      <c r="B111" s="78" t="s">
        <v>74</v>
      </c>
      <c r="D111" s="25"/>
      <c r="E111" s="46"/>
      <c r="F111" s="45"/>
      <c r="G111" s="45"/>
      <c r="H111" s="45"/>
      <c r="I111" s="45"/>
      <c r="J111" s="45"/>
      <c r="K111" s="45"/>
      <c r="L111" s="46"/>
    </row>
    <row r="112" spans="1:13" s="4" customFormat="1" ht="30">
      <c r="A112" s="83">
        <f>A109+1</f>
        <v>65</v>
      </c>
      <c r="B112" s="213" t="s">
        <v>257</v>
      </c>
      <c r="C112" s="231" t="s">
        <v>82</v>
      </c>
      <c r="D112" s="25"/>
      <c r="E112" s="60"/>
      <c r="F112" s="48" t="s">
        <v>21</v>
      </c>
      <c r="G112" s="48" t="s">
        <v>3</v>
      </c>
      <c r="H112" s="48" t="s">
        <v>4</v>
      </c>
      <c r="I112" s="48" t="s">
        <v>5</v>
      </c>
      <c r="J112" s="48" t="s">
        <v>6</v>
      </c>
      <c r="K112" s="48" t="s">
        <v>7</v>
      </c>
      <c r="L112" s="60"/>
      <c r="M112" s="3"/>
    </row>
    <row r="113" spans="1:13" s="4" customFormat="1" ht="30">
      <c r="A113" s="81">
        <f>A112+1</f>
        <v>66</v>
      </c>
      <c r="B113" s="213" t="s">
        <v>258</v>
      </c>
      <c r="C113" s="206">
        <v>0</v>
      </c>
      <c r="D113" s="25"/>
      <c r="E113" s="60" t="s">
        <v>133</v>
      </c>
      <c r="F113" s="61">
        <f>IF($C$112="yes",$C$113,0)</f>
        <v>0</v>
      </c>
      <c r="G113" s="61"/>
      <c r="H113" s="61"/>
      <c r="I113" s="61"/>
      <c r="J113" s="61"/>
      <c r="K113" s="61"/>
      <c r="L113" s="60"/>
      <c r="M113" s="3"/>
    </row>
    <row r="114" spans="1:13" s="4" customFormat="1" ht="30">
      <c r="A114" s="81">
        <f>A113+1</f>
        <v>67</v>
      </c>
      <c r="B114" s="214" t="s">
        <v>259</v>
      </c>
      <c r="C114" s="215">
        <v>0</v>
      </c>
      <c r="D114" s="25"/>
      <c r="E114" s="46" t="s">
        <v>134</v>
      </c>
      <c r="F114" s="61">
        <f t="shared" ref="F114:K114" si="16">IF($C$112="yes",$C$114,0)</f>
        <v>0</v>
      </c>
      <c r="G114" s="61">
        <f t="shared" si="16"/>
        <v>0</v>
      </c>
      <c r="H114" s="61">
        <f t="shared" si="16"/>
        <v>0</v>
      </c>
      <c r="I114" s="61">
        <f t="shared" si="16"/>
        <v>0</v>
      </c>
      <c r="J114" s="61">
        <f t="shared" si="16"/>
        <v>0</v>
      </c>
      <c r="K114" s="61">
        <f t="shared" si="16"/>
        <v>0</v>
      </c>
      <c r="L114" s="46"/>
    </row>
    <row r="115" spans="1:13" s="4" customFormat="1">
      <c r="A115" s="81">
        <f>A114+1</f>
        <v>68</v>
      </c>
      <c r="B115" s="213" t="s">
        <v>129</v>
      </c>
      <c r="C115" s="231" t="s">
        <v>82</v>
      </c>
      <c r="D115" s="25"/>
      <c r="E115" s="46"/>
      <c r="F115" s="62"/>
      <c r="G115" s="62"/>
      <c r="H115" s="62"/>
      <c r="I115" s="62"/>
      <c r="J115" s="62"/>
      <c r="K115" s="62"/>
      <c r="L115" s="46"/>
    </row>
    <row r="116" spans="1:13" s="4" customFormat="1">
      <c r="A116" s="81">
        <f>A115+1</f>
        <v>69</v>
      </c>
      <c r="B116" s="213" t="s">
        <v>260</v>
      </c>
      <c r="C116" s="206">
        <v>0</v>
      </c>
      <c r="D116" s="25"/>
      <c r="E116" s="46" t="s">
        <v>135</v>
      </c>
      <c r="F116" s="61">
        <f>IF($C$115="yes",$C$116*F21,0)</f>
        <v>0</v>
      </c>
      <c r="G116" s="61">
        <f>IF($C$115="yes",$C$116*G22,0)</f>
        <v>0</v>
      </c>
      <c r="H116" s="61">
        <f>IF($C$115="yes",$C$116*H22,0)</f>
        <v>0</v>
      </c>
      <c r="I116" s="61">
        <f>IF($C$115="yes",$C$116*I22,0)</f>
        <v>0</v>
      </c>
      <c r="J116" s="61">
        <f>IF($C$115="yes",$C$116*J22,0)</f>
        <v>0</v>
      </c>
      <c r="K116" s="61">
        <f>IF($C$115="yes",$C$116*K22,0)</f>
        <v>0</v>
      </c>
      <c r="L116" s="46"/>
    </row>
    <row r="117" spans="1:13" s="4" customFormat="1">
      <c r="A117" s="81">
        <f>A116+1</f>
        <v>70</v>
      </c>
      <c r="B117" s="214" t="s">
        <v>137</v>
      </c>
      <c r="C117" s="215">
        <v>0</v>
      </c>
      <c r="D117" s="25"/>
      <c r="E117" s="46" t="s">
        <v>136</v>
      </c>
      <c r="F117" s="61">
        <f t="shared" ref="F117:K117" si="17">IF($C$115="yes",$C$117*F21,0)</f>
        <v>0</v>
      </c>
      <c r="G117" s="61">
        <f t="shared" si="17"/>
        <v>0</v>
      </c>
      <c r="H117" s="61">
        <f t="shared" si="17"/>
        <v>0</v>
      </c>
      <c r="I117" s="61">
        <f t="shared" si="17"/>
        <v>0</v>
      </c>
      <c r="J117" s="61">
        <f t="shared" si="17"/>
        <v>0</v>
      </c>
      <c r="K117" s="61">
        <f t="shared" si="17"/>
        <v>0</v>
      </c>
      <c r="L117" s="46"/>
    </row>
    <row r="119" spans="1:13">
      <c r="E119" s="46" t="s">
        <v>138</v>
      </c>
      <c r="F119" s="49">
        <f t="shared" ref="F119:K119" si="18">SUM(F113:F117)</f>
        <v>0</v>
      </c>
      <c r="G119" s="49">
        <f t="shared" si="18"/>
        <v>0</v>
      </c>
      <c r="H119" s="49">
        <f t="shared" si="18"/>
        <v>0</v>
      </c>
      <c r="I119" s="49">
        <f t="shared" si="18"/>
        <v>0</v>
      </c>
      <c r="J119" s="49">
        <f t="shared" si="18"/>
        <v>0</v>
      </c>
      <c r="K119" s="49">
        <f t="shared" si="18"/>
        <v>0</v>
      </c>
    </row>
    <row r="120" spans="1:13">
      <c r="B120" s="77" t="s">
        <v>75</v>
      </c>
    </row>
    <row r="121" spans="1:13">
      <c r="A121" s="81">
        <f>A117+1</f>
        <v>71</v>
      </c>
      <c r="B121" s="89" t="s">
        <v>201</v>
      </c>
      <c r="C121" s="87">
        <v>0</v>
      </c>
    </row>
    <row r="122" spans="1:13">
      <c r="A122" s="81">
        <f>A121+1</f>
        <v>72</v>
      </c>
      <c r="B122" s="89" t="s">
        <v>261</v>
      </c>
      <c r="C122" s="86">
        <v>0</v>
      </c>
      <c r="E122" s="46" t="s">
        <v>85</v>
      </c>
      <c r="F122" s="49"/>
      <c r="G122" s="49">
        <f>$C$121*$C$123*G21+$C$121*$C$122</f>
        <v>0</v>
      </c>
      <c r="H122" s="49">
        <f>$C$121*$C$123*H21+$C$121*$C$122</f>
        <v>0</v>
      </c>
      <c r="I122" s="49">
        <f>$C$121*$C$123*I21+$C$121*$C$122</f>
        <v>0</v>
      </c>
      <c r="J122" s="49">
        <f>$C$121*$C$123*J21+$C$121*$C$122</f>
        <v>0</v>
      </c>
      <c r="K122" s="49">
        <f>$C$121*$C$123*K21+$C$121*$C$122</f>
        <v>0</v>
      </c>
    </row>
    <row r="123" spans="1:13">
      <c r="A123" s="81">
        <f>A122+1</f>
        <v>73</v>
      </c>
      <c r="B123" s="89" t="s">
        <v>262</v>
      </c>
      <c r="C123" s="86">
        <v>0</v>
      </c>
    </row>
    <row r="124" spans="1:13">
      <c r="A124" s="81">
        <f>A123+1</f>
        <v>74</v>
      </c>
      <c r="B124" s="89" t="s">
        <v>96</v>
      </c>
      <c r="C124" s="87">
        <v>0</v>
      </c>
      <c r="E124" s="46" t="s">
        <v>83</v>
      </c>
      <c r="F124" s="49">
        <f>($C$124+$C$125)*$C$100</f>
        <v>0</v>
      </c>
      <c r="G124" s="49">
        <v>0</v>
      </c>
      <c r="H124" s="49">
        <v>0</v>
      </c>
      <c r="I124" s="49">
        <v>0</v>
      </c>
      <c r="J124" s="49">
        <v>0</v>
      </c>
      <c r="K124" s="49">
        <v>0</v>
      </c>
      <c r="L124" s="63" t="s">
        <v>114</v>
      </c>
    </row>
    <row r="125" spans="1:13" ht="30">
      <c r="A125" s="81">
        <f>A124+1</f>
        <v>75</v>
      </c>
      <c r="B125" s="89" t="s">
        <v>76</v>
      </c>
      <c r="C125" s="87">
        <v>0</v>
      </c>
      <c r="E125" s="46" t="s">
        <v>84</v>
      </c>
      <c r="F125" s="49">
        <f>(($C$124+$C$125)*$C$106)*F21</f>
        <v>0</v>
      </c>
      <c r="G125" s="49">
        <f>(($C$124+$C$125)*$C$106)*G22</f>
        <v>0</v>
      </c>
      <c r="H125" s="49">
        <f>(($C$124+$C$125)*$C$106)*H22</f>
        <v>0</v>
      </c>
      <c r="I125" s="49">
        <f>(($C$124+$C$125)*$C$106)*I22</f>
        <v>0</v>
      </c>
      <c r="J125" s="49">
        <f>(($C$124+$C$125)*$C$106)*J22</f>
        <v>0</v>
      </c>
      <c r="K125" s="49">
        <f>(($C$124+$C$125)*$C$106)*K22</f>
        <v>0</v>
      </c>
      <c r="L125" s="63" t="s">
        <v>115</v>
      </c>
    </row>
    <row r="126" spans="1:13">
      <c r="E126" s="46" t="s">
        <v>93</v>
      </c>
      <c r="F126" s="49">
        <f t="shared" ref="F126:K126" si="19">SUM(F124:F125)</f>
        <v>0</v>
      </c>
      <c r="G126" s="49">
        <f t="shared" si="19"/>
        <v>0</v>
      </c>
      <c r="H126" s="49">
        <f t="shared" si="19"/>
        <v>0</v>
      </c>
      <c r="I126" s="49">
        <f t="shared" si="19"/>
        <v>0</v>
      </c>
      <c r="J126" s="49">
        <f t="shared" si="19"/>
        <v>0</v>
      </c>
      <c r="K126" s="49">
        <f t="shared" si="19"/>
        <v>0</v>
      </c>
    </row>
    <row r="127" spans="1:13">
      <c r="B127" s="77" t="s">
        <v>234</v>
      </c>
    </row>
    <row r="128" spans="1:13" ht="30">
      <c r="A128" s="81">
        <f>A125+1</f>
        <v>76</v>
      </c>
      <c r="B128" s="233" t="s">
        <v>294</v>
      </c>
      <c r="C128" s="208">
        <v>0</v>
      </c>
    </row>
    <row r="129" spans="1:11">
      <c r="A129" s="81">
        <f>A128+1</f>
        <v>77</v>
      </c>
      <c r="B129" s="222" t="s">
        <v>77</v>
      </c>
      <c r="C129" s="232">
        <v>0</v>
      </c>
      <c r="E129" s="46" t="s">
        <v>87</v>
      </c>
      <c r="F129" s="49">
        <f>C128</f>
        <v>0</v>
      </c>
      <c r="G129" s="49">
        <f>$C$129</f>
        <v>0</v>
      </c>
      <c r="H129" s="49">
        <f>$C$129</f>
        <v>0</v>
      </c>
      <c r="I129" s="49">
        <f>$C$129</f>
        <v>0</v>
      </c>
      <c r="J129" s="49">
        <f>$C$129</f>
        <v>0</v>
      </c>
      <c r="K129" s="49">
        <f>$C$129</f>
        <v>0</v>
      </c>
    </row>
    <row r="130" spans="1:11">
      <c r="B130" s="85"/>
      <c r="C130" s="29"/>
    </row>
    <row r="131" spans="1:11">
      <c r="B131" s="77" t="s">
        <v>121</v>
      </c>
      <c r="C131" s="29"/>
    </row>
    <row r="132" spans="1:11">
      <c r="A132" s="81">
        <f>A129+1</f>
        <v>78</v>
      </c>
      <c r="B132" s="221" t="s">
        <v>119</v>
      </c>
      <c r="C132" s="206">
        <v>0</v>
      </c>
      <c r="E132" s="46" t="s">
        <v>88</v>
      </c>
      <c r="F132" s="49">
        <f>C132*C133*F62</f>
        <v>0</v>
      </c>
      <c r="G132" s="49"/>
      <c r="H132" s="49"/>
      <c r="I132" s="49"/>
      <c r="J132" s="49"/>
      <c r="K132" s="49"/>
    </row>
    <row r="133" spans="1:11">
      <c r="A133" s="81">
        <f>A132+1</f>
        <v>79</v>
      </c>
      <c r="B133" s="222" t="s">
        <v>120</v>
      </c>
      <c r="C133" s="215">
        <v>0</v>
      </c>
    </row>
    <row r="135" spans="1:11">
      <c r="B135" s="77" t="s">
        <v>78</v>
      </c>
    </row>
    <row r="136" spans="1:11" ht="45">
      <c r="A136" s="81">
        <f>A133+1</f>
        <v>80</v>
      </c>
      <c r="B136" s="234" t="s">
        <v>263</v>
      </c>
      <c r="C136" s="235">
        <v>0</v>
      </c>
    </row>
    <row r="137" spans="1:11" ht="30">
      <c r="A137" s="81">
        <f>A136+1</f>
        <v>81</v>
      </c>
      <c r="B137" s="205" t="s">
        <v>264</v>
      </c>
      <c r="C137" s="206">
        <v>0</v>
      </c>
      <c r="F137" s="48" t="s">
        <v>21</v>
      </c>
      <c r="G137" s="48" t="s">
        <v>3</v>
      </c>
      <c r="H137" s="48" t="s">
        <v>4</v>
      </c>
      <c r="I137" s="48" t="s">
        <v>5</v>
      </c>
      <c r="J137" s="48" t="s">
        <v>6</v>
      </c>
      <c r="K137" s="48" t="s">
        <v>7</v>
      </c>
    </row>
    <row r="138" spans="1:11" ht="30">
      <c r="A138" s="81">
        <f>A137+1</f>
        <v>82</v>
      </c>
      <c r="B138" s="205" t="s">
        <v>265</v>
      </c>
      <c r="C138" s="206">
        <v>0</v>
      </c>
      <c r="E138" s="46" t="s">
        <v>116</v>
      </c>
      <c r="F138" s="49">
        <f>C136*$C$137*$F$59</f>
        <v>0</v>
      </c>
      <c r="G138" s="49">
        <f>$C$138*$C$137*$F$59</f>
        <v>0</v>
      </c>
      <c r="H138" s="49">
        <f>$C$138*$C$137*$F$59</f>
        <v>0</v>
      </c>
      <c r="I138" s="49">
        <f>$C$138*$C$137*$F$59</f>
        <v>0</v>
      </c>
      <c r="J138" s="49">
        <f>$C$138*$C$137*$F$59</f>
        <v>0</v>
      </c>
      <c r="K138" s="49">
        <f>$C$138*$C$137*$F$59</f>
        <v>0</v>
      </c>
    </row>
    <row r="139" spans="1:11" ht="30">
      <c r="A139" s="81">
        <f>A138+1</f>
        <v>83</v>
      </c>
      <c r="B139" s="211" t="s">
        <v>202</v>
      </c>
      <c r="C139" s="232">
        <v>0</v>
      </c>
      <c r="E139" s="46" t="s">
        <v>117</v>
      </c>
      <c r="F139" s="49">
        <f>$C$136*$C$137*$C$139</f>
        <v>0</v>
      </c>
      <c r="G139" s="49">
        <f>$C$138*$C$137*$C$139</f>
        <v>0</v>
      </c>
      <c r="H139" s="49">
        <f>$C$138*$C$137*$C$139</f>
        <v>0</v>
      </c>
      <c r="I139" s="49">
        <f>$C$138*$C$137*$C$139</f>
        <v>0</v>
      </c>
      <c r="J139" s="49">
        <f>$C$138*$C$137*$C$139</f>
        <v>0</v>
      </c>
      <c r="K139" s="49">
        <f>$C$138*$C$137*$C$139</f>
        <v>0</v>
      </c>
    </row>
    <row r="140" spans="1:11">
      <c r="E140" s="59" t="s">
        <v>118</v>
      </c>
      <c r="F140" s="49">
        <f t="shared" ref="F140:K140" si="20">SUM(F136:F139)</f>
        <v>0</v>
      </c>
      <c r="G140" s="49">
        <f t="shared" si="20"/>
        <v>0</v>
      </c>
      <c r="H140" s="49">
        <f t="shared" si="20"/>
        <v>0</v>
      </c>
      <c r="I140" s="49">
        <f t="shared" si="20"/>
        <v>0</v>
      </c>
      <c r="J140" s="49">
        <f t="shared" si="20"/>
        <v>0</v>
      </c>
      <c r="K140" s="49">
        <f t="shared" si="20"/>
        <v>0</v>
      </c>
    </row>
    <row r="141" spans="1:11">
      <c r="B141" s="77" t="s">
        <v>233</v>
      </c>
    </row>
    <row r="142" spans="1:11" ht="30">
      <c r="A142" s="81">
        <f>A139+1</f>
        <v>84</v>
      </c>
      <c r="B142" s="234" t="s">
        <v>151</v>
      </c>
      <c r="C142" s="235">
        <v>0</v>
      </c>
    </row>
    <row r="143" spans="1:11" ht="30">
      <c r="A143" s="81">
        <f>A142+1</f>
        <v>85</v>
      </c>
      <c r="B143" s="205" t="s">
        <v>266</v>
      </c>
      <c r="C143" s="206">
        <v>0</v>
      </c>
      <c r="F143" s="48" t="s">
        <v>21</v>
      </c>
      <c r="G143" s="48" t="s">
        <v>3</v>
      </c>
      <c r="H143" s="48" t="s">
        <v>4</v>
      </c>
      <c r="I143" s="48" t="s">
        <v>5</v>
      </c>
      <c r="J143" s="48" t="s">
        <v>6</v>
      </c>
      <c r="K143" s="48" t="s">
        <v>7</v>
      </c>
    </row>
    <row r="144" spans="1:11" ht="30">
      <c r="A144" s="81">
        <f>A143+1</f>
        <v>86</v>
      </c>
      <c r="B144" s="211" t="s">
        <v>267</v>
      </c>
      <c r="C144" s="215">
        <v>0</v>
      </c>
      <c r="E144" s="46" t="s">
        <v>89</v>
      </c>
      <c r="F144" s="49">
        <f t="shared" ref="F144:K144" si="21">$C$142*F21*$C$62+$C$143*$C$62</f>
        <v>0</v>
      </c>
      <c r="G144" s="49">
        <f t="shared" si="21"/>
        <v>0</v>
      </c>
      <c r="H144" s="49">
        <f t="shared" si="21"/>
        <v>0</v>
      </c>
      <c r="I144" s="49">
        <f t="shared" si="21"/>
        <v>0</v>
      </c>
      <c r="J144" s="49">
        <f t="shared" si="21"/>
        <v>0</v>
      </c>
      <c r="K144" s="49">
        <f t="shared" si="21"/>
        <v>0</v>
      </c>
    </row>
    <row r="145" spans="1:11">
      <c r="A145" s="81">
        <f>A144+1</f>
        <v>87</v>
      </c>
      <c r="B145" s="205" t="s">
        <v>91</v>
      </c>
      <c r="C145" s="206">
        <v>0</v>
      </c>
      <c r="E145" s="46" t="s">
        <v>90</v>
      </c>
      <c r="F145" s="50">
        <f>C144*C61</f>
        <v>0</v>
      </c>
      <c r="G145" s="50">
        <f>F145+$C$145*$C$61</f>
        <v>0</v>
      </c>
      <c r="H145" s="50">
        <f>G145+$C$145*$C$61</f>
        <v>0</v>
      </c>
      <c r="I145" s="50">
        <f>H145+$C$145*$C$61</f>
        <v>0</v>
      </c>
      <c r="J145" s="50">
        <f>I145+$C$145*$C$61</f>
        <v>0</v>
      </c>
      <c r="K145" s="50">
        <f>J145+$C$145*$C$61</f>
        <v>0</v>
      </c>
    </row>
    <row r="146" spans="1:11" ht="15" customHeight="1"/>
    <row r="148" spans="1:11">
      <c r="B148" s="77" t="s">
        <v>232</v>
      </c>
    </row>
    <row r="149" spans="1:11" ht="30">
      <c r="A149" s="81">
        <f>A145+1</f>
        <v>88</v>
      </c>
      <c r="B149" s="205" t="s">
        <v>268</v>
      </c>
      <c r="C149" s="208">
        <v>0</v>
      </c>
    </row>
    <row r="153" spans="1:11" ht="60">
      <c r="B153" s="77" t="s">
        <v>231</v>
      </c>
      <c r="C153" s="84"/>
      <c r="E153" s="64"/>
    </row>
    <row r="154" spans="1:11" ht="30">
      <c r="A154" s="81">
        <f>A149+1</f>
        <v>89</v>
      </c>
      <c r="B154" s="205" t="s">
        <v>132</v>
      </c>
      <c r="C154" s="207">
        <v>0</v>
      </c>
    </row>
    <row r="155" spans="1:11" ht="30">
      <c r="A155" s="81">
        <f>A154+1</f>
        <v>90</v>
      </c>
      <c r="B155" s="209" t="s">
        <v>269</v>
      </c>
      <c r="C155" s="236">
        <v>0</v>
      </c>
    </row>
    <row r="156" spans="1:11" ht="30">
      <c r="A156" s="81">
        <f t="shared" ref="A156:A165" si="22">A155+1</f>
        <v>91</v>
      </c>
      <c r="B156" s="205" t="s">
        <v>270</v>
      </c>
      <c r="C156" s="207">
        <v>0</v>
      </c>
    </row>
    <row r="157" spans="1:11" ht="60">
      <c r="A157" s="81">
        <f t="shared" si="22"/>
        <v>92</v>
      </c>
      <c r="B157" s="211" t="s">
        <v>271</v>
      </c>
      <c r="C157" s="237">
        <v>0</v>
      </c>
    </row>
    <row r="158" spans="1:11" ht="60">
      <c r="A158" s="81">
        <f t="shared" si="22"/>
        <v>93</v>
      </c>
      <c r="B158" s="211" t="s">
        <v>272</v>
      </c>
      <c r="C158" s="237">
        <v>0</v>
      </c>
    </row>
    <row r="159" spans="1:11" ht="30">
      <c r="A159" s="81">
        <f t="shared" si="22"/>
        <v>94</v>
      </c>
      <c r="B159" s="209" t="s">
        <v>273</v>
      </c>
      <c r="C159" s="236">
        <v>0</v>
      </c>
    </row>
    <row r="160" spans="1:11" ht="30">
      <c r="A160" s="81">
        <f t="shared" si="22"/>
        <v>95</v>
      </c>
      <c r="B160" s="205" t="s">
        <v>274</v>
      </c>
      <c r="C160" s="207">
        <v>0</v>
      </c>
    </row>
    <row r="161" spans="1:3" ht="30">
      <c r="A161" s="81">
        <f t="shared" si="22"/>
        <v>96</v>
      </c>
      <c r="B161" s="211" t="s">
        <v>275</v>
      </c>
      <c r="C161" s="212">
        <v>0</v>
      </c>
    </row>
    <row r="162" spans="1:3" ht="30">
      <c r="A162" s="81">
        <f t="shared" si="22"/>
        <v>97</v>
      </c>
      <c r="B162" s="205" t="s">
        <v>276</v>
      </c>
      <c r="C162" s="207">
        <v>0</v>
      </c>
    </row>
    <row r="163" spans="1:3" ht="45">
      <c r="A163" s="81">
        <f t="shared" si="22"/>
        <v>98</v>
      </c>
      <c r="B163" s="213" t="s">
        <v>277</v>
      </c>
      <c r="C163" s="208"/>
    </row>
    <row r="164" spans="1:3" ht="45">
      <c r="A164" s="81">
        <f t="shared" si="22"/>
        <v>99</v>
      </c>
      <c r="B164" s="214" t="s">
        <v>203</v>
      </c>
      <c r="C164" s="232"/>
    </row>
    <row r="165" spans="1:3" ht="60">
      <c r="A165" s="81">
        <f t="shared" si="22"/>
        <v>100</v>
      </c>
      <c r="B165" s="214" t="s">
        <v>278</v>
      </c>
      <c r="C165" s="232"/>
    </row>
  </sheetData>
  <customSheetViews>
    <customSheetView guid="{A75B43E1-BD35-47D7-AB9E-90AB07D62701}" showGridLines="0" topLeftCell="A16">
      <selection activeCell="B155" sqref="B155"/>
      <pageMargins left="0.7" right="0.7" top="0.75" bottom="0.75" header="0.3" footer="0.3"/>
      <pageSetup orientation="portrait" r:id="rId1"/>
    </customSheetView>
    <customSheetView guid="{86793643-04DF-41C7-A2C3-AD1B07D459CC}" showGridLines="0" topLeftCell="A16">
      <selection activeCell="B155" sqref="B155"/>
      <pageMargins left="0.7" right="0.7" top="0.75" bottom="0.75" header="0.3" footer="0.3"/>
      <pageSetup orientation="portrait" r:id="rId2"/>
    </customSheetView>
  </customSheetViews>
  <dataValidations count="3">
    <dataValidation type="list" allowBlank="1" showInputMessage="1" showErrorMessage="1" sqref="C76">
      <formula1>"Cloud, In-House"</formula1>
    </dataValidation>
    <dataValidation type="list" allowBlank="1" showInputMessage="1" showErrorMessage="1" sqref="C103 C115 C112 C109">
      <formula1>"yes, no"</formula1>
    </dataValidation>
    <dataValidation type="list" allowBlank="1" showInputMessage="1" showErrorMessage="1" sqref="C44">
      <formula1>"Too much, Too little"</formula1>
    </dataValidation>
  </dataValidations>
  <pageMargins left="0.7" right="0.7" top="0.75" bottom="0.75" header="0.3" footer="0.3"/>
  <pageSetup orientation="portrait" r:id="rId3"/>
  <drawing r:id="rId4"/>
  <legacyDrawing r:id="rId5"/>
</worksheet>
</file>

<file path=xl/worksheets/sheet3.xml><?xml version="1.0" encoding="utf-8"?>
<worksheet xmlns="http://schemas.openxmlformats.org/spreadsheetml/2006/main" xmlns:r="http://schemas.openxmlformats.org/officeDocument/2006/relationships">
  <dimension ref="A1:L41"/>
  <sheetViews>
    <sheetView showGridLines="0" zoomScale="85" zoomScaleNormal="85" workbookViewId="0">
      <selection activeCell="L13" sqref="L13"/>
    </sheetView>
  </sheetViews>
  <sheetFormatPr defaultRowHeight="15"/>
  <cols>
    <col min="1" max="1" width="5.85546875" customWidth="1"/>
    <col min="5" max="5" width="11.85546875" customWidth="1"/>
    <col min="6" max="6" width="13.42578125" bestFit="1" customWidth="1"/>
    <col min="7" max="7" width="15" bestFit="1" customWidth="1"/>
    <col min="8" max="8" width="12.85546875" customWidth="1"/>
    <col min="9" max="9" width="13.5703125" customWidth="1"/>
    <col min="10" max="10" width="14.28515625" bestFit="1" customWidth="1"/>
    <col min="12" max="12" width="88.7109375" style="6" bestFit="1" customWidth="1"/>
  </cols>
  <sheetData>
    <row r="1" spans="1:12" ht="99.95" customHeight="1">
      <c r="A1" s="2"/>
      <c r="B1" s="2"/>
      <c r="C1" s="2"/>
      <c r="D1" s="2"/>
      <c r="E1" s="2"/>
      <c r="F1" s="15"/>
      <c r="G1" s="16"/>
      <c r="H1" s="15"/>
      <c r="I1" s="18"/>
      <c r="J1" s="19"/>
      <c r="K1" s="3"/>
    </row>
    <row r="2" spans="1:12">
      <c r="A2" s="250" t="s">
        <v>10</v>
      </c>
      <c r="B2" s="197"/>
      <c r="C2" s="197"/>
      <c r="D2" s="197"/>
      <c r="E2" s="197"/>
      <c r="F2" s="199" t="s">
        <v>3</v>
      </c>
      <c r="G2" s="199" t="s">
        <v>4</v>
      </c>
      <c r="H2" s="199" t="s">
        <v>5</v>
      </c>
      <c r="I2" s="199" t="s">
        <v>6</v>
      </c>
      <c r="J2" s="200" t="s">
        <v>7</v>
      </c>
      <c r="L2" s="12"/>
    </row>
    <row r="3" spans="1:12" s="8" customFormat="1">
      <c r="A3" s="90" t="s">
        <v>55</v>
      </c>
      <c r="B3" s="10"/>
      <c r="C3" s="10"/>
      <c r="D3" s="10"/>
      <c r="E3" s="10"/>
      <c r="F3" s="11"/>
      <c r="G3" s="11"/>
      <c r="H3" s="11"/>
      <c r="I3" s="11"/>
      <c r="J3" s="91"/>
      <c r="L3" s="9"/>
    </row>
    <row r="4" spans="1:12" s="8" customFormat="1">
      <c r="A4" s="92" t="s">
        <v>64</v>
      </c>
      <c r="B4" s="10"/>
      <c r="C4" s="10"/>
      <c r="D4" s="10"/>
      <c r="E4" s="10"/>
      <c r="F4" s="11">
        <f>'Financial Analysis'!F4/'Generic ROI setup'!$C$6</f>
        <v>0</v>
      </c>
      <c r="G4" s="11">
        <f>'Financial Analysis'!G4/'Generic ROI setup'!$C$6</f>
        <v>0</v>
      </c>
      <c r="H4" s="11">
        <f>'Financial Analysis'!H4/'Generic ROI setup'!$C$6</f>
        <v>0</v>
      </c>
      <c r="I4" s="11">
        <f>'Financial Analysis'!I4/'Generic ROI setup'!$C$6</f>
        <v>0</v>
      </c>
      <c r="J4" s="91">
        <f>'Financial Analysis'!J4/'Generic ROI setup'!$C$6</f>
        <v>0</v>
      </c>
      <c r="L4" s="20"/>
    </row>
    <row r="5" spans="1:12" s="8" customFormat="1">
      <c r="A5" s="92" t="s">
        <v>15</v>
      </c>
      <c r="B5" s="10"/>
      <c r="C5" s="10"/>
      <c r="D5" s="10"/>
      <c r="E5" s="10"/>
      <c r="F5" s="11">
        <f>'Financial Analysis'!F5/'Generic ROI setup'!$C$6</f>
        <v>0</v>
      </c>
      <c r="G5" s="11">
        <f>'Financial Analysis'!G5/'Generic ROI setup'!$C$6</f>
        <v>0</v>
      </c>
      <c r="H5" s="11">
        <f>'Financial Analysis'!H5/'Generic ROI setup'!$C$6</f>
        <v>0</v>
      </c>
      <c r="I5" s="11">
        <f>'Financial Analysis'!I5/'Generic ROI setup'!$C$6</f>
        <v>0</v>
      </c>
      <c r="J5" s="91">
        <f>'Financial Analysis'!J5/'Generic ROI setup'!$C$6</f>
        <v>0</v>
      </c>
    </row>
    <row r="6" spans="1:12" s="8" customFormat="1">
      <c r="A6" s="92" t="s">
        <v>57</v>
      </c>
      <c r="B6" s="10"/>
      <c r="C6" s="10"/>
      <c r="D6" s="10"/>
      <c r="E6" s="10"/>
      <c r="F6" s="11">
        <f>'Financial Analysis'!F6/'Generic ROI setup'!$C$6</f>
        <v>0</v>
      </c>
      <c r="G6" s="11">
        <f>'Financial Analysis'!G6/'Generic ROI setup'!$C$6</f>
        <v>0</v>
      </c>
      <c r="H6" s="11">
        <f>'Financial Analysis'!H6/'Generic ROI setup'!$C$6</f>
        <v>0</v>
      </c>
      <c r="I6" s="11">
        <f>'Financial Analysis'!I6/'Generic ROI setup'!$C$6</f>
        <v>0</v>
      </c>
      <c r="J6" s="91">
        <f>'Financial Analysis'!J6/'Generic ROI setup'!$C$6</f>
        <v>0</v>
      </c>
    </row>
    <row r="7" spans="1:12" s="8" customFormat="1">
      <c r="A7" s="92"/>
      <c r="B7" s="10"/>
      <c r="C7" s="10"/>
      <c r="D7" s="10"/>
      <c r="E7" s="10"/>
      <c r="F7" s="11"/>
      <c r="G7" s="11"/>
      <c r="H7" s="11"/>
      <c r="I7" s="11"/>
      <c r="J7" s="91"/>
    </row>
    <row r="8" spans="1:12" s="8" customFormat="1">
      <c r="A8" s="90" t="s">
        <v>56</v>
      </c>
      <c r="B8" s="10"/>
      <c r="C8" s="10"/>
      <c r="D8" s="10"/>
      <c r="E8" s="10"/>
      <c r="F8" s="11"/>
      <c r="G8" s="11"/>
      <c r="H8" s="11"/>
      <c r="I8" s="11"/>
      <c r="J8" s="91"/>
    </row>
    <row r="9" spans="1:12" s="8" customFormat="1">
      <c r="A9" s="92" t="s">
        <v>12</v>
      </c>
      <c r="B9" s="10"/>
      <c r="C9" s="10"/>
      <c r="D9" s="10"/>
      <c r="E9" s="10"/>
      <c r="F9" s="11">
        <f>'Financial Analysis'!F9/'Generic ROI setup'!$C$6</f>
        <v>0</v>
      </c>
      <c r="G9" s="11">
        <f>'Financial Analysis'!G9/'Generic ROI setup'!$C$6</f>
        <v>0</v>
      </c>
      <c r="H9" s="11">
        <f>'Financial Analysis'!H9/'Generic ROI setup'!$C$6</f>
        <v>0</v>
      </c>
      <c r="I9" s="11">
        <f>'Financial Analysis'!I9/'Generic ROI setup'!$C$6</f>
        <v>0</v>
      </c>
      <c r="J9" s="91">
        <f>'Financial Analysis'!J9/'Generic ROI setup'!$C$6</f>
        <v>0</v>
      </c>
      <c r="L9" s="9"/>
    </row>
    <row r="10" spans="1:12" s="8" customFormat="1">
      <c r="A10" s="92" t="s">
        <v>46</v>
      </c>
      <c r="B10" s="10"/>
      <c r="C10" s="10"/>
      <c r="D10" s="10"/>
      <c r="E10" s="10"/>
      <c r="F10" s="11">
        <f>'Financial Analysis'!F10/'Generic ROI setup'!$C$6</f>
        <v>0</v>
      </c>
      <c r="G10" s="11">
        <f>'Financial Analysis'!G10/'Generic ROI setup'!$C$6</f>
        <v>0</v>
      </c>
      <c r="H10" s="11">
        <f>'Financial Analysis'!H10/'Generic ROI setup'!$C$6</f>
        <v>0</v>
      </c>
      <c r="I10" s="11">
        <f>'Financial Analysis'!I10/'Generic ROI setup'!$C$6</f>
        <v>0</v>
      </c>
      <c r="J10" s="91">
        <f>'Financial Analysis'!J10/'Generic ROI setup'!$C$6</f>
        <v>0</v>
      </c>
    </row>
    <row r="11" spans="1:12" s="8" customFormat="1">
      <c r="A11" s="92" t="s">
        <v>13</v>
      </c>
      <c r="B11" s="10"/>
      <c r="C11" s="10"/>
      <c r="D11" s="10"/>
      <c r="E11" s="10"/>
      <c r="F11" s="11">
        <f>'Financial Analysis'!F11/'Generic ROI setup'!$C$6</f>
        <v>0</v>
      </c>
      <c r="G11" s="11">
        <f>'Financial Analysis'!G11/'Generic ROI setup'!$C$6</f>
        <v>0</v>
      </c>
      <c r="H11" s="11">
        <f>'Financial Analysis'!H11/'Generic ROI setup'!$C$6</f>
        <v>0</v>
      </c>
      <c r="I11" s="11">
        <f>'Financial Analysis'!I11/'Generic ROI setup'!$C$6</f>
        <v>0</v>
      </c>
      <c r="J11" s="91">
        <f>'Financial Analysis'!J11/'Generic ROI setup'!$C$6</f>
        <v>0</v>
      </c>
      <c r="L11" s="21"/>
    </row>
    <row r="12" spans="1:12" s="8" customFormat="1">
      <c r="A12" s="92" t="s">
        <v>61</v>
      </c>
      <c r="B12" s="10"/>
      <c r="C12" s="10"/>
      <c r="D12" s="10"/>
      <c r="E12" s="10"/>
      <c r="F12" s="11">
        <f>'Financial Analysis'!F12/'Generic ROI setup'!$C$6</f>
        <v>0</v>
      </c>
      <c r="G12" s="11">
        <f>'Financial Analysis'!G12/'Generic ROI setup'!$C$6</f>
        <v>0</v>
      </c>
      <c r="H12" s="11">
        <f>'Financial Analysis'!H12/'Generic ROI setup'!$C$6</f>
        <v>0</v>
      </c>
      <c r="I12" s="11">
        <f>'Financial Analysis'!I12/'Generic ROI setup'!$C$6</f>
        <v>0</v>
      </c>
      <c r="J12" s="91">
        <f>'Financial Analysis'!J12/'Generic ROI setup'!$C$6</f>
        <v>0</v>
      </c>
      <c r="L12" s="21"/>
    </row>
    <row r="13" spans="1:12" s="8" customFormat="1">
      <c r="A13" s="92" t="s">
        <v>86</v>
      </c>
      <c r="B13" s="10"/>
      <c r="C13" s="10"/>
      <c r="D13" s="10"/>
      <c r="E13" s="10"/>
      <c r="F13" s="11">
        <f>'Financial Analysis'!F13/'Generic ROI setup'!$C$6</f>
        <v>0</v>
      </c>
      <c r="G13" s="11">
        <f>'Financial Analysis'!G13/'Generic ROI setup'!$C$6</f>
        <v>0</v>
      </c>
      <c r="H13" s="11">
        <f>'Financial Analysis'!H13/'Generic ROI setup'!$C$6</f>
        <v>0</v>
      </c>
      <c r="I13" s="11">
        <f>'Financial Analysis'!I13/'Generic ROI setup'!$C$6</f>
        <v>0</v>
      </c>
      <c r="J13" s="91">
        <f>'Financial Analysis'!J13/'Generic ROI setup'!$C$6</f>
        <v>0</v>
      </c>
      <c r="L13" s="21"/>
    </row>
    <row r="14" spans="1:12" s="8" customFormat="1">
      <c r="A14" s="92" t="s">
        <v>214</v>
      </c>
      <c r="B14" s="10"/>
      <c r="C14" s="10"/>
      <c r="D14" s="10"/>
      <c r="E14" s="10"/>
      <c r="F14" s="11" t="e">
        <f>'Financial Analysis'!#REF!/'Generic ROI setup'!$C$6</f>
        <v>#REF!</v>
      </c>
      <c r="G14" s="11">
        <f>'Financial Analysis'!F14/'Generic ROI setup'!$C$6</f>
        <v>0</v>
      </c>
      <c r="H14" s="11">
        <f>'Financial Analysis'!H14/'Generic ROI setup'!$C$6</f>
        <v>0</v>
      </c>
      <c r="I14" s="11">
        <f>'Financial Analysis'!I14/'Generic ROI setup'!$C$6</f>
        <v>0</v>
      </c>
      <c r="J14" s="91">
        <f>'Financial Analysis'!J14/'Generic ROI setup'!$C$6</f>
        <v>0</v>
      </c>
    </row>
    <row r="15" spans="1:12" s="10" customFormat="1">
      <c r="F15" s="145"/>
      <c r="G15" s="145"/>
      <c r="H15" s="145"/>
      <c r="I15" s="145"/>
      <c r="J15" s="145"/>
    </row>
    <row r="16" spans="1:12">
      <c r="A16" s="93"/>
      <c r="B16" s="2"/>
      <c r="C16" s="2"/>
      <c r="D16" s="2"/>
      <c r="E16" s="2"/>
      <c r="F16" s="13" t="e">
        <f>SUM(F3:F15)</f>
        <v>#REF!</v>
      </c>
      <c r="G16" s="13">
        <f>SUM(G3:G15)</f>
        <v>0</v>
      </c>
      <c r="H16" s="13">
        <f>SUM(H3:H15)</f>
        <v>0</v>
      </c>
      <c r="I16" s="13">
        <f>SUM(I3:I15)</f>
        <v>0</v>
      </c>
      <c r="J16" s="94">
        <f>SUM(J3:J15)</f>
        <v>0</v>
      </c>
    </row>
    <row r="17" spans="1:12">
      <c r="A17" s="93"/>
      <c r="B17" s="2"/>
      <c r="C17" s="2"/>
      <c r="D17" s="2"/>
      <c r="E17" s="2"/>
      <c r="F17" s="2"/>
      <c r="G17" s="2"/>
      <c r="H17" s="2"/>
      <c r="I17" s="2"/>
      <c r="J17" s="95"/>
    </row>
    <row r="18" spans="1:12">
      <c r="A18" s="193" t="s">
        <v>0</v>
      </c>
      <c r="B18" s="197"/>
      <c r="C18" s="197"/>
      <c r="D18" s="197"/>
      <c r="E18" s="198" t="s">
        <v>2</v>
      </c>
      <c r="F18" s="199" t="s">
        <v>3</v>
      </c>
      <c r="G18" s="199" t="s">
        <v>4</v>
      </c>
      <c r="H18" s="199" t="s">
        <v>5</v>
      </c>
      <c r="I18" s="199" t="s">
        <v>6</v>
      </c>
      <c r="J18" s="200" t="s">
        <v>7</v>
      </c>
    </row>
    <row r="19" spans="1:12">
      <c r="A19" s="96" t="s">
        <v>97</v>
      </c>
      <c r="B19" s="14"/>
      <c r="C19" s="14"/>
      <c r="D19" s="14"/>
      <c r="E19" s="11">
        <f>'Financial Analysis'!E19/'Generic ROI setup'!$C$6</f>
        <v>0</v>
      </c>
      <c r="F19" s="11">
        <f>'Financial Analysis'!F19/'Generic ROI setup'!$C$6</f>
        <v>0</v>
      </c>
      <c r="G19" s="11">
        <f>'Financial Analysis'!G19/'Generic ROI setup'!$C$6</f>
        <v>0</v>
      </c>
      <c r="H19" s="11">
        <f>'Financial Analysis'!H19/'Generic ROI setup'!$C$6</f>
        <v>0</v>
      </c>
      <c r="I19" s="11">
        <f>'Financial Analysis'!I19/'Generic ROI setup'!$C$6</f>
        <v>0</v>
      </c>
      <c r="J19" s="91">
        <f>'Financial Analysis'!J19/'Generic ROI setup'!$C$6</f>
        <v>0</v>
      </c>
    </row>
    <row r="20" spans="1:12" s="4" customFormat="1">
      <c r="A20" s="97" t="s">
        <v>8</v>
      </c>
      <c r="B20" s="3"/>
      <c r="C20" s="3"/>
      <c r="D20" s="3"/>
      <c r="E20" s="11">
        <f>'Financial Analysis'!E20/'Generic ROI setup'!$C$6</f>
        <v>0</v>
      </c>
      <c r="F20" s="11">
        <f>'Financial Analysis'!F20/'Generic ROI setup'!$C$6</f>
        <v>0</v>
      </c>
      <c r="G20" s="11">
        <f>'Financial Analysis'!G20/'Generic ROI setup'!$C$6</f>
        <v>0</v>
      </c>
      <c r="H20" s="11">
        <f>'Financial Analysis'!H20/'Generic ROI setup'!$C$6</f>
        <v>0</v>
      </c>
      <c r="I20" s="11">
        <f>'Financial Analysis'!I20/'Generic ROI setup'!$C$6</f>
        <v>0</v>
      </c>
      <c r="J20" s="91">
        <f>'Financial Analysis'!J20/'Generic ROI setup'!$C$6</f>
        <v>0</v>
      </c>
      <c r="L20" s="7"/>
    </row>
    <row r="21" spans="1:12" s="4" customFormat="1">
      <c r="A21" s="97" t="s">
        <v>9</v>
      </c>
      <c r="B21" s="3"/>
      <c r="C21" s="3"/>
      <c r="D21" s="3"/>
      <c r="E21" s="11">
        <f>'Financial Analysis'!E21/'Generic ROI setup'!$C$6</f>
        <v>0</v>
      </c>
      <c r="F21" s="11">
        <f>'Financial Analysis'!F21/'Generic ROI setup'!$C$6</f>
        <v>0</v>
      </c>
      <c r="G21" s="11">
        <f>'Financial Analysis'!G21/'Generic ROI setup'!$C$6</f>
        <v>0</v>
      </c>
      <c r="H21" s="11">
        <f>'Financial Analysis'!H21/'Generic ROI setup'!$C$6</f>
        <v>0</v>
      </c>
      <c r="I21" s="11">
        <f>'Financial Analysis'!I21/'Generic ROI setup'!$C$6</f>
        <v>0</v>
      </c>
      <c r="J21" s="91">
        <f>'Financial Analysis'!J21/'Generic ROI setup'!$C$6</f>
        <v>0</v>
      </c>
      <c r="L21" s="7"/>
    </row>
    <row r="22" spans="1:12" s="4" customFormat="1">
      <c r="A22" s="97" t="s">
        <v>14</v>
      </c>
      <c r="B22" s="3"/>
      <c r="C22" s="3"/>
      <c r="D22" s="3"/>
      <c r="E22" s="11">
        <f>'Financial Analysis'!E22/'Generic ROI setup'!$C$6</f>
        <v>0</v>
      </c>
      <c r="F22" s="11">
        <f>'Financial Analysis'!F22/'Generic ROI setup'!$C$6</f>
        <v>0</v>
      </c>
      <c r="G22" s="11">
        <f>'Financial Analysis'!G22/'Generic ROI setup'!$C$6</f>
        <v>0</v>
      </c>
      <c r="H22" s="11">
        <f>'Financial Analysis'!H22/'Generic ROI setup'!$C$6</f>
        <v>0</v>
      </c>
      <c r="I22" s="11">
        <f>'Financial Analysis'!I22/'Generic ROI setup'!$C$6</f>
        <v>0</v>
      </c>
      <c r="J22" s="91">
        <f>'Financial Analysis'!J22/'Generic ROI setup'!$C$6</f>
        <v>0</v>
      </c>
      <c r="L22" s="7"/>
    </row>
    <row r="23" spans="1:12" s="4" customFormat="1">
      <c r="A23" s="97" t="s">
        <v>94</v>
      </c>
      <c r="B23" s="3"/>
      <c r="C23" s="3"/>
      <c r="D23" s="3"/>
      <c r="E23" s="11">
        <f>'Financial Analysis'!E23/'Generic ROI setup'!$C$6</f>
        <v>0</v>
      </c>
      <c r="F23" s="11">
        <f>'Financial Analysis'!F23/'Generic ROI setup'!$C$6</f>
        <v>0</v>
      </c>
      <c r="G23" s="11">
        <f>'Financial Analysis'!G23/'Generic ROI setup'!$C$6</f>
        <v>0</v>
      </c>
      <c r="H23" s="11">
        <f>'Financial Analysis'!H23/'Generic ROI setup'!$C$6</f>
        <v>0</v>
      </c>
      <c r="I23" s="11">
        <f>'Financial Analysis'!I23/'Generic ROI setup'!$C$6</f>
        <v>0</v>
      </c>
      <c r="J23" s="91">
        <f>'Financial Analysis'!J23/'Generic ROI setup'!$C$6</f>
        <v>0</v>
      </c>
      <c r="L23" s="7"/>
    </row>
    <row r="24" spans="1:12" s="4" customFormat="1">
      <c r="A24" s="97" t="s">
        <v>24</v>
      </c>
      <c r="B24" s="3"/>
      <c r="C24" s="3"/>
      <c r="D24" s="3"/>
      <c r="E24" s="11">
        <f>'Financial Analysis'!E24/'Generic ROI setup'!$C$6</f>
        <v>0</v>
      </c>
      <c r="F24" s="11">
        <f>'Financial Analysis'!F24/'Generic ROI setup'!$C$6</f>
        <v>0</v>
      </c>
      <c r="G24" s="11">
        <f>'Financial Analysis'!G24/'Generic ROI setup'!$C$6</f>
        <v>0</v>
      </c>
      <c r="H24" s="11">
        <f>'Financial Analysis'!H24/'Generic ROI setup'!$C$6</f>
        <v>0</v>
      </c>
      <c r="I24" s="11">
        <f>'Financial Analysis'!I24/'Generic ROI setup'!$C$6</f>
        <v>0</v>
      </c>
      <c r="J24" s="91">
        <f>'Financial Analysis'!J24/'Generic ROI setup'!$C$6</f>
        <v>0</v>
      </c>
      <c r="L24" s="7"/>
    </row>
    <row r="25" spans="1:12" s="4" customFormat="1">
      <c r="A25" s="97" t="s">
        <v>16</v>
      </c>
      <c r="B25" s="3"/>
      <c r="C25" s="3"/>
      <c r="D25" s="3"/>
      <c r="E25" s="11">
        <f>'Financial Analysis'!E25/'Generic ROI setup'!$C$6</f>
        <v>0</v>
      </c>
      <c r="F25" s="11">
        <f>'Financial Analysis'!F25/'Generic ROI setup'!$C$6</f>
        <v>0</v>
      </c>
      <c r="G25" s="11">
        <f>'Financial Analysis'!G25/'Generic ROI setup'!$C$6</f>
        <v>0</v>
      </c>
      <c r="H25" s="11">
        <f>'Financial Analysis'!H25/'Generic ROI setup'!$C$6</f>
        <v>0</v>
      </c>
      <c r="I25" s="11">
        <f>'Financial Analysis'!I25/'Generic ROI setup'!$C$6</f>
        <v>0</v>
      </c>
      <c r="J25" s="91">
        <f>'Financial Analysis'!J25/'Generic ROI setup'!$C$6</f>
        <v>0</v>
      </c>
      <c r="L25" s="7"/>
    </row>
    <row r="26" spans="1:12" s="4" customFormat="1">
      <c r="A26" s="97" t="s">
        <v>295</v>
      </c>
      <c r="B26" s="3"/>
      <c r="C26" s="3"/>
      <c r="D26" s="3"/>
      <c r="E26" s="11">
        <f>'Financial Analysis'!E26/'Generic ROI setup'!$C$6</f>
        <v>0</v>
      </c>
      <c r="F26" s="11">
        <f>'Financial Analysis'!F26/'Generic ROI setup'!$C$6</f>
        <v>0</v>
      </c>
      <c r="G26" s="11">
        <f>'Financial Analysis'!G26/'Generic ROI setup'!$C$6</f>
        <v>0</v>
      </c>
      <c r="H26" s="11">
        <f>'Financial Analysis'!H26/'Generic ROI setup'!$C$6</f>
        <v>0</v>
      </c>
      <c r="I26" s="11">
        <f>'Financial Analysis'!I26/'Generic ROI setup'!$C$6</f>
        <v>0</v>
      </c>
      <c r="J26" s="91">
        <f>'Financial Analysis'!J26/'Generic ROI setup'!$C$6</f>
        <v>0</v>
      </c>
      <c r="L26" s="7"/>
    </row>
    <row r="27" spans="1:12" s="4" customFormat="1">
      <c r="A27" s="97" t="s">
        <v>296</v>
      </c>
      <c r="B27" s="3"/>
      <c r="C27" s="3"/>
      <c r="D27" s="3"/>
      <c r="E27" s="11">
        <f>'Financial Analysis'!E27/'Generic ROI setup'!$C$6</f>
        <v>0</v>
      </c>
      <c r="F27" s="11">
        <f>'Financial Analysis'!F27/'Generic ROI setup'!$C$6</f>
        <v>0</v>
      </c>
      <c r="G27" s="11">
        <f>'Financial Analysis'!G27/'Generic ROI setup'!$C$6</f>
        <v>0</v>
      </c>
      <c r="H27" s="11">
        <f>'Financial Analysis'!H27/'Generic ROI setup'!$C$6</f>
        <v>0</v>
      </c>
      <c r="I27" s="11">
        <f>'Financial Analysis'!I27/'Generic ROI setup'!$C$6</f>
        <v>0</v>
      </c>
      <c r="J27" s="91">
        <f>'Financial Analysis'!J27/'Generic ROI setup'!$C$6</f>
        <v>0</v>
      </c>
      <c r="L27" s="7"/>
    </row>
    <row r="28" spans="1:12" s="4" customFormat="1">
      <c r="A28" s="3" t="s">
        <v>208</v>
      </c>
      <c r="B28" s="3"/>
      <c r="C28" s="3"/>
      <c r="D28" s="3"/>
      <c r="E28" s="11">
        <f>'Financial Analysis'!E28/'Generic ROI setup'!$C$6</f>
        <v>0</v>
      </c>
      <c r="F28" s="11">
        <f>'Financial Analysis'!F28/'Generic ROI setup'!$C$6</f>
        <v>0</v>
      </c>
      <c r="G28" s="11">
        <f>'Financial Analysis'!G28/'Generic ROI setup'!$C$6</f>
        <v>0</v>
      </c>
      <c r="H28" s="11">
        <f>'Financial Analysis'!H28/'Generic ROI setup'!$C$6</f>
        <v>0</v>
      </c>
      <c r="I28" s="11">
        <f>'Financial Analysis'!I28/'Generic ROI setup'!$C$6</f>
        <v>0</v>
      </c>
      <c r="J28" s="11">
        <f>'Financial Analysis'!J28/'Generic ROI setup'!$C$6</f>
        <v>0</v>
      </c>
      <c r="L28" s="7"/>
    </row>
    <row r="29" spans="1:12">
      <c r="A29" s="93"/>
      <c r="B29" s="2"/>
      <c r="C29" s="2"/>
      <c r="D29" s="2"/>
      <c r="E29" s="13">
        <f t="shared" ref="E29:J29" si="0">SUM(E19:E28)</f>
        <v>0</v>
      </c>
      <c r="F29" s="13">
        <f t="shared" si="0"/>
        <v>0</v>
      </c>
      <c r="G29" s="13">
        <f t="shared" si="0"/>
        <v>0</v>
      </c>
      <c r="H29" s="13">
        <f t="shared" si="0"/>
        <v>0</v>
      </c>
      <c r="I29" s="13">
        <f t="shared" si="0"/>
        <v>0</v>
      </c>
      <c r="J29" s="94">
        <f t="shared" si="0"/>
        <v>0</v>
      </c>
    </row>
    <row r="30" spans="1:12">
      <c r="A30" s="93"/>
      <c r="B30" s="2"/>
      <c r="C30" s="2"/>
      <c r="D30" s="2"/>
      <c r="E30" s="13"/>
      <c r="F30" s="13"/>
      <c r="G30" s="13"/>
      <c r="H30" s="13"/>
      <c r="I30" s="13"/>
      <c r="J30" s="94"/>
    </row>
    <row r="31" spans="1:12" hidden="1">
      <c r="A31" s="93"/>
      <c r="B31" s="2"/>
      <c r="C31" s="2"/>
      <c r="D31" s="2"/>
      <c r="E31" s="13" t="s">
        <v>27</v>
      </c>
      <c r="F31" s="13">
        <v>1</v>
      </c>
      <c r="G31" s="13">
        <v>2</v>
      </c>
      <c r="H31" s="13">
        <v>3</v>
      </c>
      <c r="I31" s="13">
        <v>4</v>
      </c>
      <c r="J31" s="94">
        <v>5</v>
      </c>
    </row>
    <row r="32" spans="1:12">
      <c r="A32" s="193" t="s">
        <v>1</v>
      </c>
      <c r="B32" s="194"/>
      <c r="C32" s="194"/>
      <c r="D32" s="194"/>
      <c r="E32" s="195">
        <f>-E29</f>
        <v>0</v>
      </c>
      <c r="F32" s="195" t="e">
        <f>F16-F29</f>
        <v>#REF!</v>
      </c>
      <c r="G32" s="195">
        <f>G16-G29</f>
        <v>0</v>
      </c>
      <c r="H32" s="195">
        <f>H16-H29</f>
        <v>0</v>
      </c>
      <c r="I32" s="195">
        <f>I16-I29</f>
        <v>0</v>
      </c>
      <c r="J32" s="196">
        <f>J16-J29</f>
        <v>0</v>
      </c>
    </row>
    <row r="33" spans="1:10" ht="7.5" customHeight="1">
      <c r="A33" s="98"/>
      <c r="B33" s="2"/>
      <c r="C33" s="2"/>
      <c r="D33" s="2"/>
      <c r="E33" s="13"/>
      <c r="F33" s="13"/>
      <c r="G33" s="13"/>
      <c r="H33" s="13"/>
      <c r="I33" s="13"/>
      <c r="J33" s="94"/>
    </row>
    <row r="34" spans="1:10">
      <c r="A34" s="93" t="s">
        <v>17</v>
      </c>
      <c r="B34" s="2"/>
      <c r="C34" s="2"/>
      <c r="D34" s="2"/>
      <c r="E34" s="99">
        <f>E32</f>
        <v>0</v>
      </c>
      <c r="F34" s="99" t="e">
        <f>F32/(1+'Generic ROI setup'!$C$66)^F31</f>
        <v>#REF!</v>
      </c>
      <c r="G34" s="99">
        <f>G32/(1+'Generic ROI setup'!$C$66)^G31</f>
        <v>0</v>
      </c>
      <c r="H34" s="99">
        <f>H32/(1+'Generic ROI setup'!$C$66)^H31</f>
        <v>0</v>
      </c>
      <c r="I34" s="99">
        <f>I32/(1+'Generic ROI setup'!$C$66)^I31</f>
        <v>0</v>
      </c>
      <c r="J34" s="100">
        <f>J32/(1+'Generic ROI setup'!$C$66)^J31</f>
        <v>0</v>
      </c>
    </row>
    <row r="35" spans="1:10" ht="6" customHeight="1">
      <c r="A35" s="93"/>
      <c r="B35" s="2"/>
      <c r="C35" s="2"/>
      <c r="D35" s="2"/>
      <c r="E35" s="99"/>
      <c r="F35" s="99"/>
      <c r="G35" s="99"/>
      <c r="H35" s="99"/>
      <c r="I35" s="99"/>
      <c r="J35" s="100"/>
    </row>
    <row r="36" spans="1:10">
      <c r="A36" s="93" t="s">
        <v>18</v>
      </c>
      <c r="B36" s="2"/>
      <c r="C36" s="2"/>
      <c r="D36" s="2"/>
      <c r="E36" s="99">
        <f>E34</f>
        <v>0</v>
      </c>
      <c r="F36" s="99" t="e">
        <f>E36+F34</f>
        <v>#REF!</v>
      </c>
      <c r="G36" s="99" t="e">
        <f>F36+G34</f>
        <v>#REF!</v>
      </c>
      <c r="H36" s="99" t="e">
        <f>G36+H34</f>
        <v>#REF!</v>
      </c>
      <c r="I36" s="99" t="e">
        <f>H36+I34</f>
        <v>#REF!</v>
      </c>
      <c r="J36" s="100" t="e">
        <f>I36+J34</f>
        <v>#REF!</v>
      </c>
    </row>
    <row r="37" spans="1:10" ht="6.75" customHeight="1">
      <c r="A37" s="93"/>
      <c r="B37" s="2"/>
      <c r="C37" s="2"/>
      <c r="D37" s="2"/>
      <c r="E37" s="99"/>
      <c r="F37" s="99"/>
      <c r="G37" s="99"/>
      <c r="H37" s="99"/>
      <c r="I37" s="99"/>
      <c r="J37" s="100"/>
    </row>
    <row r="38" spans="1:10">
      <c r="A38" s="2" t="s">
        <v>25</v>
      </c>
      <c r="B38" s="2"/>
      <c r="C38" s="2"/>
      <c r="D38" s="2"/>
      <c r="E38" s="99"/>
      <c r="F38" s="101" t="e">
        <f>F34/$E$36*-1-1</f>
        <v>#REF!</v>
      </c>
      <c r="G38" s="101" t="e">
        <f>G34/$E$36*-1-1</f>
        <v>#DIV/0!</v>
      </c>
      <c r="H38" s="101" t="e">
        <f>H34/$E$36*-1-1</f>
        <v>#DIV/0!</v>
      </c>
      <c r="I38" s="101" t="e">
        <f>I34/$E$36*-1-1</f>
        <v>#DIV/0!</v>
      </c>
      <c r="J38" s="101" t="e">
        <f>J34/$E$36*-1-1</f>
        <v>#DIV/0!</v>
      </c>
    </row>
    <row r="39" spans="1:10">
      <c r="A39" s="93"/>
      <c r="B39" s="2"/>
      <c r="C39" s="2"/>
      <c r="D39" s="2"/>
      <c r="E39" s="99"/>
      <c r="F39" s="99"/>
      <c r="G39" s="99"/>
      <c r="H39" s="2"/>
      <c r="I39" s="2"/>
      <c r="J39" s="95"/>
    </row>
    <row r="40" spans="1:10">
      <c r="A40" s="148" t="s">
        <v>19</v>
      </c>
      <c r="B40" s="149"/>
      <c r="C40" s="149"/>
      <c r="D40" s="149"/>
      <c r="E40" s="256" t="e">
        <f>NPV('Generic ROI setup'!$C$66,C32:J32)</f>
        <v>#REF!</v>
      </c>
      <c r="F40" s="256"/>
      <c r="G40" s="2"/>
      <c r="H40" s="2"/>
      <c r="I40" s="2"/>
      <c r="J40" s="95"/>
    </row>
    <row r="41" spans="1:10">
      <c r="A41" s="102"/>
      <c r="B41" s="103"/>
      <c r="C41" s="103"/>
      <c r="D41" s="104"/>
      <c r="E41" s="104"/>
      <c r="F41" s="104"/>
      <c r="G41" s="104"/>
      <c r="H41" s="104"/>
      <c r="I41" s="104"/>
      <c r="J41" s="105"/>
    </row>
  </sheetData>
  <customSheetViews>
    <customSheetView guid="{A75B43E1-BD35-47D7-AB9E-90AB07D62701}" showPageBreaks="1" showGridLines="0" printArea="1" hiddenRows="1">
      <selection activeCell="A28" sqref="A28:XFD28"/>
      <pageMargins left="0.7" right="0.7" top="0.75" bottom="0.75" header="0.3" footer="0.3"/>
      <pageSetup orientation="landscape" r:id="rId1"/>
      <headerFooter alignWithMargins="0"/>
    </customSheetView>
    <customSheetView guid="{86793643-04DF-41C7-A2C3-AD1B07D459CC}" showPageBreaks="1" showGridLines="0" printArea="1" hiddenRows="1">
      <selection activeCell="A28" sqref="A28:XFD28"/>
      <pageMargins left="0.7" right="0.7" top="0.75" bottom="0.75" header="0.3" footer="0.3"/>
      <pageSetup orientation="landscape" r:id="rId2"/>
      <headerFooter alignWithMargins="0"/>
    </customSheetView>
  </customSheetViews>
  <mergeCells count="1">
    <mergeCell ref="E40:F40"/>
  </mergeCells>
  <pageMargins left="0.7" right="0.7" top="0.75" bottom="0.75" header="0.3" footer="0.3"/>
  <pageSetup orientation="landscape" r:id="rId3"/>
  <headerFooter alignWithMargins="0"/>
  <drawing r:id="rId4"/>
</worksheet>
</file>

<file path=xl/worksheets/sheet4.xml><?xml version="1.0" encoding="utf-8"?>
<worksheet xmlns="http://schemas.openxmlformats.org/spreadsheetml/2006/main" xmlns:r="http://schemas.openxmlformats.org/officeDocument/2006/relationships">
  <dimension ref="A1:L41"/>
  <sheetViews>
    <sheetView showGridLines="0" zoomScale="70" zoomScaleNormal="70" workbookViewId="0">
      <selection activeCell="L14" sqref="L14"/>
    </sheetView>
  </sheetViews>
  <sheetFormatPr defaultRowHeight="15"/>
  <cols>
    <col min="1" max="1" width="5.85546875" customWidth="1"/>
    <col min="5" max="5" width="11.85546875" customWidth="1"/>
    <col min="6" max="6" width="13.42578125" bestFit="1" customWidth="1"/>
    <col min="7" max="7" width="15" bestFit="1" customWidth="1"/>
    <col min="8" max="8" width="12.85546875" customWidth="1"/>
    <col min="9" max="9" width="13.5703125" customWidth="1"/>
    <col min="10" max="10" width="14.28515625" bestFit="1" customWidth="1"/>
    <col min="12" max="12" width="88.7109375" style="6" bestFit="1" customWidth="1"/>
  </cols>
  <sheetData>
    <row r="1" spans="1:12" ht="99.95" customHeight="1">
      <c r="A1" s="2"/>
      <c r="B1" s="2"/>
      <c r="C1" s="2"/>
      <c r="D1" s="2"/>
      <c r="E1" s="2"/>
      <c r="F1" s="15"/>
      <c r="G1" s="16"/>
      <c r="H1" s="17"/>
      <c r="I1" s="18"/>
      <c r="J1" s="19"/>
      <c r="K1" s="3"/>
    </row>
    <row r="2" spans="1:12">
      <c r="A2" s="123" t="s">
        <v>10</v>
      </c>
      <c r="B2" s="124"/>
      <c r="C2" s="124"/>
      <c r="D2" s="124"/>
      <c r="E2" s="124"/>
      <c r="F2" s="125" t="s">
        <v>3</v>
      </c>
      <c r="G2" s="125" t="s">
        <v>4</v>
      </c>
      <c r="H2" s="125" t="s">
        <v>5</v>
      </c>
      <c r="I2" s="125" t="s">
        <v>6</v>
      </c>
      <c r="J2" s="126" t="s">
        <v>7</v>
      </c>
      <c r="L2" s="12"/>
    </row>
    <row r="3" spans="1:12" s="8" customFormat="1">
      <c r="A3" s="127" t="s">
        <v>55</v>
      </c>
      <c r="B3" s="128"/>
      <c r="C3" s="128"/>
      <c r="D3" s="128"/>
      <c r="E3" s="128"/>
      <c r="F3" s="129"/>
      <c r="G3" s="129"/>
      <c r="H3" s="129"/>
      <c r="I3" s="129"/>
      <c r="J3" s="130"/>
      <c r="L3" s="9"/>
    </row>
    <row r="4" spans="1:12" s="8" customFormat="1">
      <c r="A4" s="108" t="s">
        <v>64</v>
      </c>
      <c r="B4" s="10"/>
      <c r="C4" s="10"/>
      <c r="D4" s="10"/>
      <c r="E4" s="10"/>
      <c r="F4" s="11">
        <f>'Generic ROI setup'!G9*'Generic ROI setup'!G12*'Generic ROI setup'!G13*'Generic ROI setup'!$C$66</f>
        <v>0</v>
      </c>
      <c r="G4" s="11">
        <f>'Generic ROI setup'!H9*'Generic ROI setup'!H12*'Generic ROI setup'!H13*'Generic ROI setup'!$C$66</f>
        <v>0</v>
      </c>
      <c r="H4" s="11">
        <f>'Generic ROI setup'!I9*'Generic ROI setup'!I12*'Generic ROI setup'!I13*'Generic ROI setup'!$C$66</f>
        <v>0</v>
      </c>
      <c r="I4" s="11">
        <f>'Generic ROI setup'!J9*'Generic ROI setup'!J12*'Generic ROI setup'!J13*'Generic ROI setup'!$C$66</f>
        <v>0</v>
      </c>
      <c r="J4" s="107">
        <f>'Generic ROI setup'!K9*'Generic ROI setup'!K12*'Generic ROI setup'!K13*'Generic ROI setup'!$C$66</f>
        <v>0</v>
      </c>
      <c r="L4" s="20"/>
    </row>
    <row r="5" spans="1:12" s="8" customFormat="1">
      <c r="A5" s="108" t="s">
        <v>15</v>
      </c>
      <c r="B5" s="10"/>
      <c r="C5" s="10"/>
      <c r="D5" s="10"/>
      <c r="E5" s="10"/>
      <c r="F5" s="109">
        <f>'Generic ROI setup'!G50</f>
        <v>0</v>
      </c>
      <c r="G5" s="109">
        <f>'Generic ROI setup'!H50</f>
        <v>0</v>
      </c>
      <c r="H5" s="109">
        <f>'Generic ROI setup'!I50</f>
        <v>0</v>
      </c>
      <c r="I5" s="109">
        <f>'Generic ROI setup'!J50</f>
        <v>0</v>
      </c>
      <c r="J5" s="110">
        <f>'Generic ROI setup'!K50</f>
        <v>0</v>
      </c>
    </row>
    <row r="6" spans="1:12" s="8" customFormat="1">
      <c r="A6" s="108" t="s">
        <v>57</v>
      </c>
      <c r="B6" s="10"/>
      <c r="C6" s="10"/>
      <c r="D6" s="10"/>
      <c r="E6" s="10"/>
      <c r="F6" s="11">
        <f>'Generic ROI setup'!G56</f>
        <v>0</v>
      </c>
      <c r="G6" s="11">
        <f>'Generic ROI setup'!H56</f>
        <v>0</v>
      </c>
      <c r="H6" s="11">
        <f>'Generic ROI setup'!I56</f>
        <v>0</v>
      </c>
      <c r="I6" s="11">
        <f>'Generic ROI setup'!J56</f>
        <v>0</v>
      </c>
      <c r="J6" s="107">
        <f>'Generic ROI setup'!K56</f>
        <v>0</v>
      </c>
    </row>
    <row r="7" spans="1:12" s="8" customFormat="1">
      <c r="A7" s="108"/>
      <c r="B7" s="10"/>
      <c r="C7" s="10"/>
      <c r="D7" s="10"/>
      <c r="E7" s="10"/>
      <c r="F7" s="11"/>
      <c r="G7" s="11"/>
      <c r="H7" s="11"/>
      <c r="I7" s="11"/>
      <c r="J7" s="107"/>
    </row>
    <row r="8" spans="1:12" s="8" customFormat="1">
      <c r="A8" s="106" t="s">
        <v>56</v>
      </c>
      <c r="B8" s="10"/>
      <c r="C8" s="10"/>
      <c r="D8" s="10"/>
      <c r="E8" s="10"/>
      <c r="F8" s="11"/>
      <c r="G8" s="11"/>
      <c r="H8" s="11"/>
      <c r="I8" s="11"/>
      <c r="J8" s="107"/>
    </row>
    <row r="9" spans="1:12" s="8" customFormat="1">
      <c r="A9" s="108" t="s">
        <v>12</v>
      </c>
      <c r="B9" s="10"/>
      <c r="C9" s="10"/>
      <c r="D9" s="10"/>
      <c r="E9" s="10"/>
      <c r="F9" s="13">
        <f>'Generic ROI setup'!G24*12*'Generic ROI setup'!$F$59+'Generic ROI setup'!G25*'Generic ROI setup'!$F$60</f>
        <v>0</v>
      </c>
      <c r="G9" s="13">
        <f>'Generic ROI setup'!H24*12*'Generic ROI setup'!$F$59+'Generic ROI setup'!H25*'Generic ROI setup'!$F$60</f>
        <v>0</v>
      </c>
      <c r="H9" s="13">
        <f>'Generic ROI setup'!I24*12*'Generic ROI setup'!$F$59+'Generic ROI setup'!I25*'Generic ROI setup'!$F$60</f>
        <v>0</v>
      </c>
      <c r="I9" s="13">
        <f>'Generic ROI setup'!J24*12*'Generic ROI setup'!$F$59+'Generic ROI setup'!J25*'Generic ROI setup'!$F$60</f>
        <v>0</v>
      </c>
      <c r="J9" s="111">
        <f>'Generic ROI setup'!K24*12*'Generic ROI setup'!$F$59+'Generic ROI setup'!K25*'Generic ROI setup'!$F$60</f>
        <v>0</v>
      </c>
      <c r="L9" s="9"/>
    </row>
    <row r="10" spans="1:12" s="8" customFormat="1">
      <c r="A10" s="108" t="s">
        <v>46</v>
      </c>
      <c r="B10" s="10"/>
      <c r="C10" s="10"/>
      <c r="D10" s="10"/>
      <c r="E10" s="10"/>
      <c r="F10" s="11">
        <f>('Generic ROI setup'!$C$26*'Generic ROI setup'!G22*'Generic ROI setup'!$F$61)+(('Generic ROI setup'!$C$27)*'Generic ROI setup'!G23*'Generic ROI setup'!$F$61)+('Generic ROI setup'!$C$52*'Generic ROI setup'!G55*'Generic ROI setup'!$F$61)</f>
        <v>0</v>
      </c>
      <c r="G10" s="11">
        <f>('Generic ROI setup'!$C$26*'Generic ROI setup'!H22*'Generic ROI setup'!$F$61)+(('Generic ROI setup'!$C$27)*'Generic ROI setup'!H23*'Generic ROI setup'!$F$61)+('Generic ROI setup'!$C$52*'Generic ROI setup'!H55*'Generic ROI setup'!$F$61)</f>
        <v>0</v>
      </c>
      <c r="H10" s="11">
        <f>('Generic ROI setup'!$C$26*'Generic ROI setup'!I22*'Generic ROI setup'!$F$61)+(('Generic ROI setup'!$C$27)*'Generic ROI setup'!I23*'Generic ROI setup'!$F$61)+('Generic ROI setup'!$C$52*'Generic ROI setup'!I55*'Generic ROI setup'!$F$61)</f>
        <v>0</v>
      </c>
      <c r="I10" s="11">
        <f>('Generic ROI setup'!$C$26*'Generic ROI setup'!J22*'Generic ROI setup'!$F$61)+(('Generic ROI setup'!$C$27)*'Generic ROI setup'!J23*'Generic ROI setup'!$F$61)+('Generic ROI setup'!$C$52*'Generic ROI setup'!J55*'Generic ROI setup'!$F$61)</f>
        <v>0</v>
      </c>
      <c r="J10" s="107">
        <f>('Generic ROI setup'!$C$26*'Generic ROI setup'!K22*'Generic ROI setup'!$F$61)+(('Generic ROI setup'!$C$27)*'Generic ROI setup'!K23*'Generic ROI setup'!$F$61)+('Generic ROI setup'!$C$52*'Generic ROI setup'!K55*'Generic ROI setup'!$F$61)</f>
        <v>0</v>
      </c>
    </row>
    <row r="11" spans="1:12" s="8" customFormat="1">
      <c r="A11" s="108" t="s">
        <v>13</v>
      </c>
      <c r="B11" s="10"/>
      <c r="C11" s="10"/>
      <c r="D11" s="10"/>
      <c r="E11" s="10"/>
      <c r="F11" s="11">
        <f>'Generic ROI setup'!$C$159*'Generic ROI setup'!G41</f>
        <v>0</v>
      </c>
      <c r="G11" s="11">
        <f>'Generic ROI setup'!$C$159*'Generic ROI setup'!H41</f>
        <v>0</v>
      </c>
      <c r="H11" s="11">
        <f>'Generic ROI setup'!$C$159*'Generic ROI setup'!I41</f>
        <v>0</v>
      </c>
      <c r="I11" s="11">
        <f>'Generic ROI setup'!$C$159*'Generic ROI setup'!J41</f>
        <v>0</v>
      </c>
      <c r="J11" s="107">
        <f>'Generic ROI setup'!$C$159*'Generic ROI setup'!K41</f>
        <v>0</v>
      </c>
      <c r="L11" s="21"/>
    </row>
    <row r="12" spans="1:12" s="8" customFormat="1">
      <c r="A12" s="108" t="s">
        <v>61</v>
      </c>
      <c r="B12" s="10"/>
      <c r="C12" s="10"/>
      <c r="D12" s="10"/>
      <c r="E12" s="10"/>
      <c r="F12" s="11">
        <f>('Generic ROI setup'!G34-'Generic ROI setup'!G35)+(('Generic ROI setup'!G36-'Generic ROI setup'!G37)*'Generic ROI setup'!$C$48*'Generic ROI setup'!$C$66)</f>
        <v>0</v>
      </c>
      <c r="G12" s="11">
        <f>('Generic ROI setup'!H34-'Generic ROI setup'!H35)+(('Generic ROI setup'!H36-'Generic ROI setup'!H37)*'Generic ROI setup'!$C$48*'Generic ROI setup'!$C$66)</f>
        <v>0</v>
      </c>
      <c r="H12" s="11">
        <f>('Generic ROI setup'!I34-'Generic ROI setup'!I35)+(('Generic ROI setup'!I36-'Generic ROI setup'!I37)*'Generic ROI setup'!$C$48*'Generic ROI setup'!$C$66)</f>
        <v>0</v>
      </c>
      <c r="I12" s="11">
        <f>('Generic ROI setup'!J34-'Generic ROI setup'!J35)+(('Generic ROI setup'!J36-'Generic ROI setup'!J37)*'Generic ROI setup'!$C$48*'Generic ROI setup'!$C$66)</f>
        <v>0</v>
      </c>
      <c r="J12" s="107">
        <f>('Generic ROI setup'!K34-'Generic ROI setup'!K35)+(('Generic ROI setup'!K36-'Generic ROI setup'!K37)*'Generic ROI setup'!$C$48*'Generic ROI setup'!$C$66)</f>
        <v>0</v>
      </c>
      <c r="L12" s="21"/>
    </row>
    <row r="13" spans="1:12" s="8" customFormat="1">
      <c r="A13" s="108" t="s">
        <v>86</v>
      </c>
      <c r="B13" s="10"/>
      <c r="C13" s="10"/>
      <c r="D13" s="10"/>
      <c r="E13" s="10"/>
      <c r="F13" s="11">
        <f>'Generic ROI setup'!G122</f>
        <v>0</v>
      </c>
      <c r="G13" s="11">
        <f>'Generic ROI setup'!H122</f>
        <v>0</v>
      </c>
      <c r="H13" s="11">
        <f>'Generic ROI setup'!I122</f>
        <v>0</v>
      </c>
      <c r="I13" s="11">
        <f>'Generic ROI setup'!J122</f>
        <v>0</v>
      </c>
      <c r="J13" s="107">
        <f>'Generic ROI setup'!K122</f>
        <v>0</v>
      </c>
      <c r="L13" s="21"/>
    </row>
    <row r="14" spans="1:12" s="8" customFormat="1">
      <c r="A14" s="108" t="s">
        <v>214</v>
      </c>
      <c r="B14" s="10"/>
      <c r="C14" s="10"/>
      <c r="D14" s="10"/>
      <c r="E14" s="10"/>
      <c r="F14" s="11">
        <f>('Generic ROI setup'!G30*('Generic ROI setup'!G18-'Generic ROI setup'!F18)*'Generic ROI setup'!$F$59)+('Generic ROI setup'!G31*('Generic ROI setup'!G17-'Generic ROI setup'!F17)*'Generic ROI setup'!$F$59)</f>
        <v>0</v>
      </c>
      <c r="G14" s="11">
        <f>('Generic ROI setup'!H30*('Generic ROI setup'!H18-'Generic ROI setup'!G18)*'Generic ROI setup'!$F$59)+('Generic ROI setup'!H31*('Generic ROI setup'!H17-'Generic ROI setup'!G17)*'Generic ROI setup'!$F$59)</f>
        <v>0</v>
      </c>
      <c r="H14" s="11">
        <f>('Generic ROI setup'!I30*('Generic ROI setup'!I18-'Generic ROI setup'!H18)*'Generic ROI setup'!$F$59)+('Generic ROI setup'!I31*('Generic ROI setup'!I17-'Generic ROI setup'!H17)*'Generic ROI setup'!$F$59)</f>
        <v>0</v>
      </c>
      <c r="I14" s="11">
        <f>('Generic ROI setup'!J30*('Generic ROI setup'!J18-'Generic ROI setup'!I18)*'Generic ROI setup'!$F$59)+('Generic ROI setup'!J31*('Generic ROI setup'!J17-'Generic ROI setup'!I17)*'Generic ROI setup'!$F$59)</f>
        <v>0</v>
      </c>
      <c r="J14" s="107">
        <f>('Generic ROI setup'!K30*('Generic ROI setup'!K18-'Generic ROI setup'!J18)*'Generic ROI setup'!$F$59)+('Generic ROI setup'!K31*('Generic ROI setup'!K17-'Generic ROI setup'!J17)*'Generic ROI setup'!$F$59)</f>
        <v>0</v>
      </c>
    </row>
    <row r="15" spans="1:12" s="10" customFormat="1">
      <c r="F15" s="145"/>
      <c r="G15" s="145"/>
      <c r="H15" s="145"/>
      <c r="I15" s="145"/>
      <c r="J15" s="145"/>
    </row>
    <row r="16" spans="1:12">
      <c r="A16" s="131"/>
      <c r="B16" s="2"/>
      <c r="C16" s="2"/>
      <c r="D16" s="2"/>
      <c r="E16" s="2"/>
      <c r="F16" s="13">
        <f>SUM(F3:F15)</f>
        <v>0</v>
      </c>
      <c r="G16" s="13">
        <f>SUM(G3:G15)</f>
        <v>0</v>
      </c>
      <c r="H16" s="13">
        <f>SUM(H3:H15)</f>
        <v>0</v>
      </c>
      <c r="I16" s="13">
        <f>SUM(I3:I15)</f>
        <v>0</v>
      </c>
      <c r="J16" s="111">
        <f>SUM(J3:J15)</f>
        <v>0</v>
      </c>
    </row>
    <row r="17" spans="1:12">
      <c r="A17" s="131"/>
      <c r="B17" s="2"/>
      <c r="C17" s="2"/>
      <c r="D17" s="2"/>
      <c r="E17" s="2"/>
      <c r="F17" s="2"/>
      <c r="G17" s="2"/>
      <c r="H17" s="2"/>
      <c r="I17" s="2"/>
      <c r="J17" s="132"/>
    </row>
    <row r="18" spans="1:12">
      <c r="A18" s="112" t="s">
        <v>0</v>
      </c>
      <c r="B18" s="113"/>
      <c r="C18" s="113"/>
      <c r="D18" s="113"/>
      <c r="E18" s="114" t="s">
        <v>2</v>
      </c>
      <c r="F18" s="115" t="s">
        <v>3</v>
      </c>
      <c r="G18" s="115" t="s">
        <v>4</v>
      </c>
      <c r="H18" s="115" t="s">
        <v>5</v>
      </c>
      <c r="I18" s="115" t="s">
        <v>6</v>
      </c>
      <c r="J18" s="116" t="s">
        <v>7</v>
      </c>
    </row>
    <row r="19" spans="1:12">
      <c r="A19" s="133" t="s">
        <v>97</v>
      </c>
      <c r="B19" s="14"/>
      <c r="C19" s="14"/>
      <c r="D19" s="14"/>
      <c r="E19" s="134">
        <f>'Generic ROI setup'!F91</f>
        <v>0</v>
      </c>
      <c r="F19" s="134">
        <f>'Generic ROI setup'!G91</f>
        <v>0</v>
      </c>
      <c r="G19" s="134">
        <f>'Generic ROI setup'!H91</f>
        <v>0</v>
      </c>
      <c r="H19" s="134">
        <f>'Generic ROI setup'!I91</f>
        <v>0</v>
      </c>
      <c r="I19" s="134">
        <f>'Generic ROI setup'!J91</f>
        <v>0</v>
      </c>
      <c r="J19" s="135">
        <f>'Generic ROI setup'!K91</f>
        <v>0</v>
      </c>
    </row>
    <row r="20" spans="1:12" s="4" customFormat="1">
      <c r="A20" s="136" t="s">
        <v>8</v>
      </c>
      <c r="B20" s="3"/>
      <c r="C20" s="3"/>
      <c r="D20" s="3"/>
      <c r="E20" s="134">
        <f>'Generic ROI setup'!F102</f>
        <v>0</v>
      </c>
      <c r="F20" s="134">
        <f>'Generic ROI setup'!G102</f>
        <v>0</v>
      </c>
      <c r="G20" s="134">
        <f>'Generic ROI setup'!H102</f>
        <v>0</v>
      </c>
      <c r="H20" s="134">
        <f>'Generic ROI setup'!I102</f>
        <v>0</v>
      </c>
      <c r="I20" s="134">
        <f>'Generic ROI setup'!J102</f>
        <v>0</v>
      </c>
      <c r="J20" s="135">
        <f>'Generic ROI setup'!K102</f>
        <v>0</v>
      </c>
      <c r="L20" s="7"/>
    </row>
    <row r="21" spans="1:12" s="4" customFormat="1">
      <c r="A21" s="136" t="s">
        <v>9</v>
      </c>
      <c r="B21" s="3"/>
      <c r="C21" s="3"/>
      <c r="D21" s="3"/>
      <c r="E21" s="134">
        <f>'Generic ROI setup'!F126</f>
        <v>0</v>
      </c>
      <c r="F21" s="134">
        <f>'Generic ROI setup'!G126</f>
        <v>0</v>
      </c>
      <c r="G21" s="134">
        <f>'Generic ROI setup'!H126</f>
        <v>0</v>
      </c>
      <c r="H21" s="134">
        <f>'Generic ROI setup'!I126</f>
        <v>0</v>
      </c>
      <c r="I21" s="134">
        <f>'Generic ROI setup'!J126</f>
        <v>0</v>
      </c>
      <c r="J21" s="135">
        <f>'Generic ROI setup'!K126</f>
        <v>0</v>
      </c>
      <c r="L21" s="7"/>
    </row>
    <row r="22" spans="1:12" s="4" customFormat="1">
      <c r="A22" s="136" t="s">
        <v>14</v>
      </c>
      <c r="B22" s="3"/>
      <c r="C22" s="3"/>
      <c r="D22" s="3"/>
      <c r="E22" s="134">
        <f>'Generic ROI setup'!F119</f>
        <v>0</v>
      </c>
      <c r="F22" s="134">
        <f>'Generic ROI setup'!G119</f>
        <v>0</v>
      </c>
      <c r="G22" s="134">
        <f>'Generic ROI setup'!H119</f>
        <v>0</v>
      </c>
      <c r="H22" s="134">
        <f>'Generic ROI setup'!I119</f>
        <v>0</v>
      </c>
      <c r="I22" s="134">
        <f>'Generic ROI setup'!J119</f>
        <v>0</v>
      </c>
      <c r="J22" s="135">
        <f>'Generic ROI setup'!K119</f>
        <v>0</v>
      </c>
      <c r="L22" s="7"/>
    </row>
    <row r="23" spans="1:12" s="4" customFormat="1">
      <c r="A23" s="136" t="s">
        <v>94</v>
      </c>
      <c r="B23" s="3"/>
      <c r="C23" s="3"/>
      <c r="D23" s="3"/>
      <c r="E23" s="134">
        <f>'Generic ROI setup'!F132</f>
        <v>0</v>
      </c>
      <c r="F23" s="134">
        <f>'Generic ROI setup'!G135</f>
        <v>0</v>
      </c>
      <c r="G23" s="134">
        <f>'Generic ROI setup'!H135</f>
        <v>0</v>
      </c>
      <c r="H23" s="134">
        <f>'Generic ROI setup'!I135</f>
        <v>0</v>
      </c>
      <c r="I23" s="134">
        <f>'Generic ROI setup'!J135</f>
        <v>0</v>
      </c>
      <c r="J23" s="135">
        <f>'Generic ROI setup'!K135</f>
        <v>0</v>
      </c>
      <c r="L23" s="7"/>
    </row>
    <row r="24" spans="1:12" s="4" customFormat="1">
      <c r="A24" s="136" t="s">
        <v>24</v>
      </c>
      <c r="B24" s="3"/>
      <c r="C24" s="3"/>
      <c r="D24" s="3"/>
      <c r="E24" s="134">
        <f>'Generic ROI setup'!F129</f>
        <v>0</v>
      </c>
      <c r="F24" s="134">
        <f>'Generic ROI setup'!G129</f>
        <v>0</v>
      </c>
      <c r="G24" s="134">
        <f>'Generic ROI setup'!H129</f>
        <v>0</v>
      </c>
      <c r="H24" s="134">
        <f>'Generic ROI setup'!I129</f>
        <v>0</v>
      </c>
      <c r="I24" s="134">
        <f>'Generic ROI setup'!J129</f>
        <v>0</v>
      </c>
      <c r="J24" s="135">
        <f>'Generic ROI setup'!K129</f>
        <v>0</v>
      </c>
      <c r="L24" s="7"/>
    </row>
    <row r="25" spans="1:12" s="4" customFormat="1">
      <c r="A25" s="136" t="s">
        <v>16</v>
      </c>
      <c r="B25" s="3"/>
      <c r="C25" s="3"/>
      <c r="D25" s="3"/>
      <c r="E25" s="134">
        <f>'Generic ROI setup'!F140</f>
        <v>0</v>
      </c>
      <c r="F25" s="134">
        <f>'Generic ROI setup'!G140</f>
        <v>0</v>
      </c>
      <c r="G25" s="134">
        <f>'Generic ROI setup'!H140</f>
        <v>0</v>
      </c>
      <c r="H25" s="134">
        <f>'Generic ROI setup'!I140</f>
        <v>0</v>
      </c>
      <c r="I25" s="134">
        <f>'Generic ROI setup'!J140</f>
        <v>0</v>
      </c>
      <c r="J25" s="135">
        <f>'Generic ROI setup'!K140</f>
        <v>0</v>
      </c>
      <c r="L25" s="7"/>
    </row>
    <row r="26" spans="1:12" s="4" customFormat="1">
      <c r="A26" s="136" t="s">
        <v>295</v>
      </c>
      <c r="B26" s="3"/>
      <c r="C26" s="3"/>
      <c r="D26" s="3"/>
      <c r="E26" s="134">
        <f>'Generic ROI setup'!F144</f>
        <v>0</v>
      </c>
      <c r="F26" s="134">
        <f>'Generic ROI setup'!G144</f>
        <v>0</v>
      </c>
      <c r="G26" s="134">
        <f>'Generic ROI setup'!H144</f>
        <v>0</v>
      </c>
      <c r="H26" s="134">
        <f>'Generic ROI setup'!I144</f>
        <v>0</v>
      </c>
      <c r="I26" s="134">
        <f>'Generic ROI setup'!J144</f>
        <v>0</v>
      </c>
      <c r="J26" s="135">
        <f>'Generic ROI setup'!K144</f>
        <v>0</v>
      </c>
      <c r="L26" s="7"/>
    </row>
    <row r="27" spans="1:12" s="4" customFormat="1">
      <c r="A27" s="136" t="s">
        <v>296</v>
      </c>
      <c r="B27" s="3"/>
      <c r="C27" s="3"/>
      <c r="D27" s="3"/>
      <c r="E27" s="33">
        <f>'Generic ROI setup'!F145</f>
        <v>0</v>
      </c>
      <c r="F27" s="33">
        <f>'Generic ROI setup'!G145</f>
        <v>0</v>
      </c>
      <c r="G27" s="33">
        <f>'Generic ROI setup'!H145</f>
        <v>0</v>
      </c>
      <c r="H27" s="33">
        <f>'Generic ROI setup'!I145</f>
        <v>0</v>
      </c>
      <c r="I27" s="33">
        <f>'Generic ROI setup'!J145</f>
        <v>0</v>
      </c>
      <c r="J27" s="137">
        <f>'Generic ROI setup'!K145</f>
        <v>0</v>
      </c>
      <c r="L27" s="7"/>
    </row>
    <row r="28" spans="1:12" s="4" customFormat="1">
      <c r="A28" s="3" t="s">
        <v>208</v>
      </c>
      <c r="B28" s="3"/>
      <c r="C28" s="3"/>
      <c r="D28" s="3"/>
      <c r="E28" s="33">
        <f>'Generic ROI setup'!C149</f>
        <v>0</v>
      </c>
      <c r="F28" s="33">
        <f>'Generic ROI setup'!D149</f>
        <v>0</v>
      </c>
      <c r="G28" s="33">
        <f>'Generic ROI setup'!E149</f>
        <v>0</v>
      </c>
      <c r="H28" s="33">
        <f>'Generic ROI setup'!F149</f>
        <v>0</v>
      </c>
      <c r="I28" s="33">
        <f>'Generic ROI setup'!G149</f>
        <v>0</v>
      </c>
      <c r="J28" s="33">
        <f>'Generic ROI setup'!H149</f>
        <v>0</v>
      </c>
      <c r="L28" s="7"/>
    </row>
    <row r="29" spans="1:12">
      <c r="A29" s="131"/>
      <c r="B29" s="2"/>
      <c r="C29" s="2"/>
      <c r="D29" s="2"/>
      <c r="E29" s="13">
        <f t="shared" ref="E29:J29" si="0">SUM(E19:E28)</f>
        <v>0</v>
      </c>
      <c r="F29" s="13">
        <f t="shared" si="0"/>
        <v>0</v>
      </c>
      <c r="G29" s="13">
        <f t="shared" si="0"/>
        <v>0</v>
      </c>
      <c r="H29" s="13">
        <f t="shared" si="0"/>
        <v>0</v>
      </c>
      <c r="I29" s="13">
        <f t="shared" si="0"/>
        <v>0</v>
      </c>
      <c r="J29" s="111">
        <f t="shared" si="0"/>
        <v>0</v>
      </c>
    </row>
    <row r="30" spans="1:12">
      <c r="A30" s="131"/>
      <c r="B30" s="2"/>
      <c r="C30" s="2"/>
      <c r="D30" s="2"/>
      <c r="E30" s="13"/>
      <c r="F30" s="13"/>
      <c r="G30" s="13"/>
      <c r="H30" s="13"/>
      <c r="I30" s="13"/>
      <c r="J30" s="111"/>
    </row>
    <row r="31" spans="1:12" hidden="1">
      <c r="A31" s="131"/>
      <c r="B31" s="2"/>
      <c r="C31" s="2"/>
      <c r="D31" s="2"/>
      <c r="E31" s="13" t="s">
        <v>27</v>
      </c>
      <c r="F31" s="13">
        <v>1</v>
      </c>
      <c r="G31" s="13">
        <v>2</v>
      </c>
      <c r="H31" s="13">
        <v>3</v>
      </c>
      <c r="I31" s="13">
        <v>4</v>
      </c>
      <c r="J31" s="111">
        <v>5</v>
      </c>
    </row>
    <row r="32" spans="1:12">
      <c r="A32" s="112" t="s">
        <v>1</v>
      </c>
      <c r="B32" s="117"/>
      <c r="C32" s="117"/>
      <c r="D32" s="117"/>
      <c r="E32" s="118">
        <f>-E29</f>
        <v>0</v>
      </c>
      <c r="F32" s="118">
        <f>F16-F29</f>
        <v>0</v>
      </c>
      <c r="G32" s="118">
        <f>G16-G29</f>
        <v>0</v>
      </c>
      <c r="H32" s="118">
        <f>H16-H29</f>
        <v>0</v>
      </c>
      <c r="I32" s="118">
        <f>I16-I29</f>
        <v>0</v>
      </c>
      <c r="J32" s="119">
        <f>J16-J29</f>
        <v>0</v>
      </c>
    </row>
    <row r="33" spans="1:10" ht="7.5" customHeight="1">
      <c r="A33" s="138"/>
      <c r="B33" s="2"/>
      <c r="C33" s="2"/>
      <c r="D33" s="2"/>
      <c r="E33" s="13"/>
      <c r="F33" s="13"/>
      <c r="G33" s="13"/>
      <c r="H33" s="13"/>
      <c r="I33" s="13"/>
      <c r="J33" s="111"/>
    </row>
    <row r="34" spans="1:10">
      <c r="A34" s="131" t="s">
        <v>17</v>
      </c>
      <c r="B34" s="2"/>
      <c r="C34" s="2"/>
      <c r="D34" s="2"/>
      <c r="E34" s="99">
        <f>E32</f>
        <v>0</v>
      </c>
      <c r="F34" s="99">
        <f>F32/(1+'Generic ROI setup'!$C$66)^F31</f>
        <v>0</v>
      </c>
      <c r="G34" s="99">
        <f>G32/(1+'Generic ROI setup'!$C$66)^G31</f>
        <v>0</v>
      </c>
      <c r="H34" s="99">
        <f>H32/(1+'Generic ROI setup'!$C$66)^H31</f>
        <v>0</v>
      </c>
      <c r="I34" s="99">
        <f>I32/(1+'Generic ROI setup'!$C$66)^I31</f>
        <v>0</v>
      </c>
      <c r="J34" s="139">
        <f>J32/(1+'Generic ROI setup'!$C$66)^J31</f>
        <v>0</v>
      </c>
    </row>
    <row r="35" spans="1:10" ht="6" customHeight="1">
      <c r="A35" s="131"/>
      <c r="B35" s="2"/>
      <c r="C35" s="2"/>
      <c r="D35" s="2"/>
      <c r="E35" s="99"/>
      <c r="F35" s="99"/>
      <c r="G35" s="99"/>
      <c r="H35" s="99"/>
      <c r="I35" s="99"/>
      <c r="J35" s="139"/>
    </row>
    <row r="36" spans="1:10">
      <c r="A36" s="131" t="s">
        <v>297</v>
      </c>
      <c r="B36" s="2"/>
      <c r="C36" s="2"/>
      <c r="D36" s="2"/>
      <c r="E36" s="99">
        <f>E34</f>
        <v>0</v>
      </c>
      <c r="F36" s="99">
        <f>E36+F34</f>
        <v>0</v>
      </c>
      <c r="G36" s="99">
        <f>F36+G34</f>
        <v>0</v>
      </c>
      <c r="H36" s="99">
        <f>G36+H34</f>
        <v>0</v>
      </c>
      <c r="I36" s="99">
        <f>H36+I34</f>
        <v>0</v>
      </c>
      <c r="J36" s="139">
        <f>I36+J34</f>
        <v>0</v>
      </c>
    </row>
    <row r="37" spans="1:10" ht="6.75" customHeight="1">
      <c r="A37" s="131"/>
      <c r="B37" s="2"/>
      <c r="C37" s="2"/>
      <c r="D37" s="2"/>
      <c r="E37" s="99"/>
      <c r="F37" s="99"/>
      <c r="G37" s="99"/>
      <c r="H37" s="99"/>
      <c r="I37" s="99"/>
      <c r="J37" s="139"/>
    </row>
    <row r="38" spans="1:10">
      <c r="A38" s="140" t="s">
        <v>25</v>
      </c>
      <c r="B38" s="120"/>
      <c r="C38" s="120"/>
      <c r="D38" s="120"/>
      <c r="E38" s="121"/>
      <c r="F38" s="122" t="e">
        <f>F34/$E$36*-1-1</f>
        <v>#DIV/0!</v>
      </c>
      <c r="G38" s="122" t="e">
        <f>G34/$E$36*-1-1</f>
        <v>#DIV/0!</v>
      </c>
      <c r="H38" s="122" t="e">
        <f>H34/$E$36*-1-1</f>
        <v>#DIV/0!</v>
      </c>
      <c r="I38" s="122" t="e">
        <f>I34/$E$36*-1-1</f>
        <v>#DIV/0!</v>
      </c>
      <c r="J38" s="141" t="e">
        <f>J34/$E$36*-1-1</f>
        <v>#DIV/0!</v>
      </c>
    </row>
    <row r="39" spans="1:10" ht="15.75" thickBot="1">
      <c r="A39" s="131"/>
      <c r="B39" s="2"/>
      <c r="C39" s="2"/>
      <c r="D39" s="2"/>
      <c r="E39" s="99"/>
      <c r="F39" s="99"/>
      <c r="G39" s="99"/>
      <c r="H39" s="2"/>
      <c r="I39" s="2"/>
      <c r="J39" s="132"/>
    </row>
    <row r="40" spans="1:10" ht="15.75" thickBot="1">
      <c r="A40" s="146" t="s">
        <v>19</v>
      </c>
      <c r="B40" s="147"/>
      <c r="C40" s="147"/>
      <c r="D40" s="147"/>
      <c r="E40" s="257">
        <f>NPV('Generic ROI setup'!$C$66,C32:J32)</f>
        <v>0</v>
      </c>
      <c r="F40" s="258"/>
      <c r="G40" s="2"/>
      <c r="H40" s="2"/>
      <c r="I40" s="2"/>
      <c r="J40" s="132"/>
    </row>
    <row r="41" spans="1:10">
      <c r="A41" s="142"/>
      <c r="B41" s="143"/>
      <c r="C41" s="143"/>
      <c r="D41" s="120"/>
      <c r="E41" s="120"/>
      <c r="F41" s="120"/>
      <c r="G41" s="120"/>
      <c r="H41" s="120"/>
      <c r="I41" s="120"/>
      <c r="J41" s="144"/>
    </row>
  </sheetData>
  <customSheetViews>
    <customSheetView guid="{A75B43E1-BD35-47D7-AB9E-90AB07D62701}" showPageBreaks="1" showGridLines="0" printArea="1" hiddenRows="1">
      <selection activeCell="A36" sqref="A36:XFD36"/>
      <pageMargins left="0.7" right="0.7" top="0.75" bottom="0.75" header="0.3" footer="0.3"/>
      <pageSetup orientation="landscape" r:id="rId1"/>
      <headerFooter alignWithMargins="0"/>
    </customSheetView>
    <customSheetView guid="{86793643-04DF-41C7-A2C3-AD1B07D459CC}" showPageBreaks="1" showGridLines="0" printArea="1" hiddenRows="1">
      <selection activeCell="A36" sqref="A36:XFD36"/>
      <pageMargins left="0.7" right="0.7" top="0.75" bottom="0.75" header="0.3" footer="0.3"/>
      <pageSetup orientation="landscape" r:id="rId2"/>
      <headerFooter alignWithMargins="0"/>
    </customSheetView>
  </customSheetViews>
  <mergeCells count="1">
    <mergeCell ref="E40:F40"/>
  </mergeCells>
  <phoneticPr fontId="0" type="noConversion"/>
  <pageMargins left="0.7" right="0.7" top="0.75" bottom="0.75" header="0.3" footer="0.3"/>
  <pageSetup orientation="landscape" r:id="rId3"/>
  <headerFooter alignWithMargins="0"/>
  <drawing r:id="rId4"/>
</worksheet>
</file>

<file path=xl/worksheets/sheet5.xml><?xml version="1.0" encoding="utf-8"?>
<worksheet xmlns="http://schemas.openxmlformats.org/spreadsheetml/2006/main" xmlns:r="http://schemas.openxmlformats.org/officeDocument/2006/relationships">
  <dimension ref="A1:C26"/>
  <sheetViews>
    <sheetView showGridLines="0" tabSelected="1" topLeftCell="A11" zoomScale="70" zoomScaleNormal="70" workbookViewId="0">
      <selection activeCell="A3" sqref="A3"/>
    </sheetView>
  </sheetViews>
  <sheetFormatPr defaultRowHeight="15"/>
  <cols>
    <col min="1" max="1" width="19.7109375" style="34" customWidth="1"/>
    <col min="2" max="2" width="102.42578125" style="35" customWidth="1"/>
    <col min="3" max="3" width="76.85546875" style="36" customWidth="1"/>
  </cols>
  <sheetData>
    <row r="1" spans="1:3" ht="99.95" customHeight="1"/>
    <row r="2" spans="1:3">
      <c r="A2" s="157" t="s">
        <v>55</v>
      </c>
      <c r="B2" s="158" t="s">
        <v>169</v>
      </c>
      <c r="C2" s="160" t="s">
        <v>161</v>
      </c>
    </row>
    <row r="3" spans="1:3" ht="106.5" customHeight="1">
      <c r="A3" s="152" t="s">
        <v>206</v>
      </c>
      <c r="B3" s="156" t="s">
        <v>204</v>
      </c>
      <c r="C3" s="159" t="s">
        <v>209</v>
      </c>
    </row>
    <row r="4" spans="1:3" ht="222" customHeight="1">
      <c r="A4" s="153" t="s">
        <v>15</v>
      </c>
      <c r="B4" s="155" t="s">
        <v>279</v>
      </c>
      <c r="C4" s="154" t="s">
        <v>219</v>
      </c>
    </row>
    <row r="5" spans="1:3" ht="172.5" customHeight="1">
      <c r="A5" s="162" t="s">
        <v>207</v>
      </c>
      <c r="B5" s="161" t="s">
        <v>280</v>
      </c>
      <c r="C5" s="159" t="s">
        <v>210</v>
      </c>
    </row>
    <row r="6" spans="1:3">
      <c r="A6" s="190" t="s">
        <v>177</v>
      </c>
      <c r="B6" s="191" t="s">
        <v>169</v>
      </c>
      <c r="C6" s="192" t="s">
        <v>161</v>
      </c>
    </row>
    <row r="7" spans="1:3" ht="148.5" customHeight="1">
      <c r="A7" s="188" t="s">
        <v>12</v>
      </c>
      <c r="B7" s="189" t="s">
        <v>205</v>
      </c>
      <c r="C7" s="179" t="s">
        <v>220</v>
      </c>
    </row>
    <row r="8" spans="1:3" ht="182.45" customHeight="1">
      <c r="A8" s="151" t="s">
        <v>46</v>
      </c>
      <c r="B8" s="175" t="s">
        <v>288</v>
      </c>
      <c r="C8" s="174" t="s">
        <v>211</v>
      </c>
    </row>
    <row r="9" spans="1:3" ht="127.9" customHeight="1">
      <c r="A9" s="150" t="s">
        <v>13</v>
      </c>
      <c r="B9" s="167" t="s">
        <v>289</v>
      </c>
      <c r="C9" s="174" t="s">
        <v>221</v>
      </c>
    </row>
    <row r="10" spans="1:3" s="4" customFormat="1" ht="153.6" customHeight="1">
      <c r="A10" s="172" t="s">
        <v>61</v>
      </c>
      <c r="B10" s="173" t="s">
        <v>290</v>
      </c>
      <c r="C10" s="171" t="s">
        <v>212</v>
      </c>
    </row>
    <row r="11" spans="1:3" ht="49.15" customHeight="1">
      <c r="A11" s="165" t="s">
        <v>86</v>
      </c>
      <c r="B11" s="169" t="s">
        <v>291</v>
      </c>
      <c r="C11" s="154" t="s">
        <v>213</v>
      </c>
    </row>
    <row r="12" spans="1:3" ht="90">
      <c r="A12" s="152" t="s">
        <v>214</v>
      </c>
      <c r="B12" s="168" t="s">
        <v>292</v>
      </c>
      <c r="C12" s="170" t="s">
        <v>184</v>
      </c>
    </row>
    <row r="16" spans="1:3">
      <c r="A16" s="163" t="s">
        <v>0</v>
      </c>
      <c r="B16" s="158" t="s">
        <v>169</v>
      </c>
      <c r="C16" s="160" t="s">
        <v>161</v>
      </c>
    </row>
    <row r="17" spans="1:3" ht="45">
      <c r="A17" s="177" t="s">
        <v>97</v>
      </c>
      <c r="B17" s="176" t="s">
        <v>281</v>
      </c>
      <c r="C17" s="166" t="s">
        <v>163</v>
      </c>
    </row>
    <row r="18" spans="1:3">
      <c r="A18" s="184" t="s">
        <v>8</v>
      </c>
      <c r="B18" s="173" t="s">
        <v>171</v>
      </c>
      <c r="C18" s="154" t="s">
        <v>164</v>
      </c>
    </row>
    <row r="19" spans="1:3" ht="30">
      <c r="A19" s="178" t="s">
        <v>9</v>
      </c>
      <c r="B19" s="173" t="s">
        <v>282</v>
      </c>
      <c r="C19" s="166" t="s">
        <v>215</v>
      </c>
    </row>
    <row r="20" spans="1:3" ht="45">
      <c r="A20" s="185" t="s">
        <v>14</v>
      </c>
      <c r="B20" s="182" t="s">
        <v>283</v>
      </c>
      <c r="C20" s="180" t="s">
        <v>165</v>
      </c>
    </row>
    <row r="21" spans="1:3" ht="30">
      <c r="A21" s="178" t="s">
        <v>94</v>
      </c>
      <c r="B21" s="173" t="s">
        <v>172</v>
      </c>
      <c r="C21" s="170" t="s">
        <v>216</v>
      </c>
    </row>
    <row r="22" spans="1:3" ht="30">
      <c r="A22" s="187" t="s">
        <v>24</v>
      </c>
      <c r="B22" s="183" t="s">
        <v>174</v>
      </c>
      <c r="C22" s="181" t="s">
        <v>173</v>
      </c>
    </row>
    <row r="23" spans="1:3" ht="30">
      <c r="A23" s="178" t="s">
        <v>16</v>
      </c>
      <c r="B23" s="164" t="s">
        <v>284</v>
      </c>
      <c r="C23" s="181" t="s">
        <v>217</v>
      </c>
    </row>
    <row r="24" spans="1:3" ht="60">
      <c r="A24" s="186" t="s">
        <v>22</v>
      </c>
      <c r="B24" s="173" t="s">
        <v>285</v>
      </c>
      <c r="C24" s="174" t="s">
        <v>218</v>
      </c>
    </row>
    <row r="25" spans="1:3" ht="30">
      <c r="A25" s="185" t="s">
        <v>20</v>
      </c>
      <c r="B25" s="182" t="s">
        <v>286</v>
      </c>
      <c r="C25" s="179" t="s">
        <v>166</v>
      </c>
    </row>
    <row r="26" spans="1:3" ht="30">
      <c r="A26" s="178" t="s">
        <v>208</v>
      </c>
      <c r="B26" s="173" t="s">
        <v>287</v>
      </c>
      <c r="C26" s="154" t="s">
        <v>167</v>
      </c>
    </row>
  </sheetData>
  <customSheetViews>
    <customSheetView guid="{A75B43E1-BD35-47D7-AB9E-90AB07D62701}" showGridLines="0" topLeftCell="B1">
      <selection activeCell="C8" sqref="C8"/>
      <pageMargins left="0.7" right="0.7" top="0.75" bottom="0.75" header="0.3" footer="0.3"/>
      <pageSetup orientation="portrait" horizontalDpi="300" verticalDpi="300" r:id="rId1"/>
    </customSheetView>
    <customSheetView guid="{86793643-04DF-41C7-A2C3-AD1B07D459CC}" showGridLines="0" topLeftCell="B1">
      <selection activeCell="C8" sqref="C8"/>
      <pageMargins left="0.7" right="0.7" top="0.75" bottom="0.75" header="0.3" footer="0.3"/>
      <pageSetup orientation="portrait" horizontalDpi="300" verticalDpi="300" r:id="rId2"/>
    </customSheetView>
  </customSheetViews>
  <pageMargins left="0.7" right="0.7" top="0.75" bottom="0.75" header="0.3" footer="0.3"/>
  <pageSetup orientation="portrait" horizontalDpi="300" verticalDpi="300" r:id="rId3"/>
  <drawing r:id="rId4"/>
  <legacyDrawing r:id="rId5"/>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A75B43E1-BD35-47D7-AB9E-90AB07D62701}">
      <pageMargins left="0.7" right="0.7" top="0.75" bottom="0.75" header="0.3" footer="0.3"/>
    </customSheetView>
    <customSheetView guid="{86793643-04DF-41C7-A2C3-AD1B07D459CC}">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A75B43E1-BD35-47D7-AB9E-90AB07D62701}">
      <pageMargins left="0.7" right="0.7" top="0.75" bottom="0.75" header="0.3" footer="0.3"/>
    </customSheetView>
    <customSheetView guid="{86793643-04DF-41C7-A2C3-AD1B07D459CC}">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Instructions</vt:lpstr>
      <vt:lpstr>Generic ROI setup</vt:lpstr>
      <vt:lpstr>Financial Analysis in USD</vt:lpstr>
      <vt:lpstr>Financial Analysis</vt:lpstr>
      <vt:lpstr>Calculation Definitions &amp; Notes</vt:lpstr>
      <vt:lpstr>Sheet1</vt:lpstr>
      <vt:lpstr>Sheet2</vt:lpstr>
      <vt:lpstr>FA Chart</vt:lpstr>
      <vt:lpstr>'Financial Analysis'!Print_Area</vt:lpstr>
      <vt:lpstr>'Financial Analysis in USD'!Print_Area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Iden</dc:creator>
  <cp:lastModifiedBy>LYorke</cp:lastModifiedBy>
  <cp:lastPrinted>2009-10-06T17:22:31Z</cp:lastPrinted>
  <dcterms:created xsi:type="dcterms:W3CDTF">2009-05-13T18:56:30Z</dcterms:created>
  <dcterms:modified xsi:type="dcterms:W3CDTF">2011-06-27T20:06:11Z</dcterms:modified>
</cp:coreProperties>
</file>